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y-next57\Desktop\"/>
    </mc:Choice>
  </mc:AlternateContent>
  <xr:revisionPtr revIDLastSave="0" documentId="8_{BA2E404B-C6D8-42BE-BBDF-3B01DF5577C1}" xr6:coauthVersionLast="47" xr6:coauthVersionMax="47" xr10:uidLastSave="{00000000-0000-0000-0000-000000000000}"/>
  <bookViews>
    <workbookView xWindow="-120" yWindow="-120" windowWidth="29040" windowHeight="15720" tabRatio="897" xr2:uid="{00000000-000D-0000-FFFF-FFFF00000000}"/>
  </bookViews>
  <sheets>
    <sheet name="使い方と注意事項" sheetId="1" r:id="rId1"/>
    <sheet name="YC書式520_研究経費ポイント算出表・再生医療" sheetId="2" r:id="rId2"/>
    <sheet name="YC書式521_管理経費ポイント算出表・再生医療" sheetId="3" r:id="rId3"/>
    <sheet name="YC書式522_経費内訳書・再生医療" sheetId="4" r:id="rId4"/>
    <sheet name="YC書式522_別紙1" sheetId="5" r:id="rId5"/>
    <sheet name="YC書式522_別紙2" sheetId="6" r:id="rId6"/>
  </sheets>
  <definedNames>
    <definedName name="_xlnm.Print_Area" localSheetId="1">YC書式520_研究経費ポイント算出表・再生医療!$A$1:$AD$38</definedName>
    <definedName name="_xlnm.Print_Area" localSheetId="2">YC書式521_管理経費ポイント算出表・再生医療!$A$1:$AD$32</definedName>
    <definedName name="_xlnm.Print_Area" localSheetId="3">YC書式522_経費内訳書・再生医療!$A$1:$AE$89</definedName>
    <definedName name="_xlnm.Print_Area" localSheetId="4">YC書式522_別紙1!$A$1:$AH$58</definedName>
    <definedName name="_xlnm.Print_Area" localSheetId="5">YC書式522_別紙2!$A$1:$AH$33</definedName>
    <definedName name="_xlnm.Print_Area" localSheetId="0">使い方と注意事項!$B$1:$B$7</definedName>
    <definedName name="Z_55E56F26_4B40_4110_8016_275979CB7E24_.wvu.Cols" localSheetId="3" hidden="1">YC書式522_経費内訳書・再生医療!#REF!</definedName>
    <definedName name="Z_55E56F26_4B40_4110_8016_275979CB7E24_.wvu.PrintArea" localSheetId="1" hidden="1">YC書式520_研究経費ポイント算出表・再生医療!$A$1:$AD$38</definedName>
    <definedName name="Z_55E56F26_4B40_4110_8016_275979CB7E24_.wvu.PrintArea" localSheetId="2" hidden="1">YC書式521_管理経費ポイント算出表・再生医療!$A$1:$AD$32</definedName>
    <definedName name="Z_55E56F26_4B40_4110_8016_275979CB7E24_.wvu.PrintArea" localSheetId="3" hidden="1">YC書式522_経費内訳書・再生医療!$A$1:$AE$54</definedName>
    <definedName name="Z_55E56F26_4B40_4110_8016_275979CB7E24_.wvu.Rows" localSheetId="1" hidden="1">YC書式520_研究経費ポイント算出表・再生医療!$39:$40</definedName>
    <definedName name="Z_55E56F26_4B40_4110_8016_275979CB7E24_.wvu.Rows" localSheetId="2" hidden="1">YC書式521_管理経費ポイント算出表・再生医療!$34:$35</definedName>
  </definedNames>
  <calcPr calcId="191029"/>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5" i="4" l="1"/>
  <c r="Y20" i="4"/>
  <c r="M59" i="4"/>
  <c r="AM57" i="4"/>
  <c r="AN57" i="4" s="1"/>
  <c r="AM56" i="4"/>
  <c r="AN56" i="4" s="1"/>
  <c r="AM55" i="4"/>
  <c r="AN55" i="4" s="1"/>
  <c r="AM54" i="4"/>
  <c r="AN54" i="4" s="1"/>
  <c r="Y54" i="4"/>
  <c r="AI53" i="4" s="1"/>
  <c r="S21" i="4"/>
  <c r="R21" i="4"/>
  <c r="AG45" i="4"/>
  <c r="AG42" i="4"/>
  <c r="I17" i="3"/>
  <c r="P3" i="3"/>
  <c r="P3" i="2"/>
  <c r="AJ29" i="6" l="1"/>
  <c r="AJ28" i="6"/>
  <c r="AJ27" i="6"/>
  <c r="AJ26" i="6"/>
  <c r="AJ25" i="6"/>
  <c r="AJ24" i="6"/>
  <c r="AJ23" i="6"/>
  <c r="AJ22" i="6"/>
  <c r="AJ21" i="6"/>
  <c r="AJ20" i="6"/>
  <c r="AJ19" i="6"/>
  <c r="AJ18" i="6"/>
  <c r="AJ17" i="6"/>
  <c r="AJ16" i="6"/>
  <c r="AJ15" i="6"/>
  <c r="AJ14" i="6"/>
  <c r="T3" i="6"/>
  <c r="S3" i="6"/>
  <c r="AC2" i="6"/>
  <c r="AB2" i="6"/>
  <c r="X2" i="6"/>
  <c r="W2" i="6"/>
  <c r="T2" i="6"/>
  <c r="S2" i="6"/>
  <c r="S1" i="6"/>
  <c r="O57" i="5"/>
  <c r="AN89" i="4"/>
  <c r="AN88" i="4"/>
  <c r="AN87" i="4"/>
  <c r="AG86" i="4"/>
  <c r="AN84" i="4"/>
  <c r="AN83" i="4"/>
  <c r="AN82" i="4"/>
  <c r="AG82" i="4"/>
  <c r="AN81" i="4"/>
  <c r="AN80" i="4"/>
  <c r="AG79" i="4"/>
  <c r="AN78" i="4"/>
  <c r="AN77" i="4"/>
  <c r="AG76" i="4"/>
  <c r="AN75" i="4"/>
  <c r="AN74" i="4"/>
  <c r="AG73" i="4"/>
  <c r="AM72" i="4"/>
  <c r="AN72" i="4" s="1"/>
  <c r="AM71" i="4"/>
  <c r="AN71" i="4" s="1"/>
  <c r="AM70" i="4"/>
  <c r="AN70" i="4" s="1"/>
  <c r="AM69" i="4"/>
  <c r="AN69" i="4" s="1"/>
  <c r="AG68" i="4"/>
  <c r="AM67" i="4"/>
  <c r="AN67" i="4" s="1"/>
  <c r="AM66" i="4"/>
  <c r="AN66" i="4" s="1"/>
  <c r="AM65" i="4"/>
  <c r="AN65" i="4" s="1"/>
  <c r="AM64" i="4"/>
  <c r="AN64" i="4" s="1"/>
  <c r="AG63" i="4"/>
  <c r="AM62" i="4"/>
  <c r="AN62" i="4" s="1"/>
  <c r="AM61" i="4"/>
  <c r="AN61" i="4" s="1"/>
  <c r="AM60" i="4"/>
  <c r="AN60" i="4" s="1"/>
  <c r="AN59" i="4"/>
  <c r="AM59" i="4"/>
  <c r="AG58" i="4"/>
  <c r="AG53" i="4"/>
  <c r="AM52" i="4"/>
  <c r="AN52" i="4" s="1"/>
  <c r="AM51" i="4"/>
  <c r="AN51" i="4" s="1"/>
  <c r="AM50" i="4"/>
  <c r="AN50" i="4" s="1"/>
  <c r="AM49" i="4"/>
  <c r="AN49" i="4" s="1"/>
  <c r="AG48" i="4"/>
  <c r="AN41" i="4"/>
  <c r="AN40" i="4"/>
  <c r="AN39" i="4"/>
  <c r="AG38" i="4"/>
  <c r="AG37" i="4"/>
  <c r="AJ33" i="4"/>
  <c r="M88" i="4"/>
  <c r="Y88" i="4" s="1"/>
  <c r="Y89" i="4" s="1"/>
  <c r="AH86" i="4" s="1"/>
  <c r="AM86" i="4" s="1"/>
  <c r="AN86" i="4" s="1"/>
  <c r="C83" i="4"/>
  <c r="Y83" i="4" s="1"/>
  <c r="Y80" i="4"/>
  <c r="AH79" i="4" s="1"/>
  <c r="AM79" i="4" s="1"/>
  <c r="AN79" i="4" s="1"/>
  <c r="Y77" i="4"/>
  <c r="AH76" i="4" s="1"/>
  <c r="AM76" i="4" s="1"/>
  <c r="AN76" i="4" s="1"/>
  <c r="Y74" i="4"/>
  <c r="AH73" i="4" s="1"/>
  <c r="AM73" i="4" s="1"/>
  <c r="AN73" i="4" s="1"/>
  <c r="H70" i="4"/>
  <c r="Y70" i="4" s="1"/>
  <c r="Y69" i="4"/>
  <c r="AI68" i="4" s="1"/>
  <c r="Y59" i="4"/>
  <c r="AI58" i="4" s="1"/>
  <c r="Y39" i="4"/>
  <c r="AH38" i="4" s="1"/>
  <c r="AM38" i="4" s="1"/>
  <c r="AN38" i="4" s="1"/>
  <c r="M39" i="4"/>
  <c r="H39" i="4"/>
  <c r="Q29" i="4"/>
  <c r="Q28" i="4"/>
  <c r="Q27" i="4"/>
  <c r="AI33" i="4" s="1"/>
  <c r="Y21" i="4"/>
  <c r="Y43" i="4" s="1"/>
  <c r="AH45" i="4" s="1"/>
  <c r="AN45" i="4" s="1"/>
  <c r="Y42" i="4"/>
  <c r="AH42" i="4" s="1"/>
  <c r="AM42" i="4" s="1"/>
  <c r="AN42" i="4" s="1"/>
  <c r="Q12" i="4"/>
  <c r="Y11" i="4"/>
  <c r="N10" i="4"/>
  <c r="Y10" i="4" s="1"/>
  <c r="AI37" i="4" s="1"/>
  <c r="AB7" i="4"/>
  <c r="N23" i="4" s="1"/>
  <c r="I19" i="3"/>
  <c r="W24" i="3"/>
  <c r="O24" i="3"/>
  <c r="O18" i="3"/>
  <c r="W14" i="3"/>
  <c r="O14" i="3"/>
  <c r="I14" i="3"/>
  <c r="M64" i="4" l="1"/>
  <c r="Y64" i="4" s="1"/>
  <c r="H55" i="4"/>
  <c r="Y55" i="4" s="1"/>
  <c r="Y56" i="4" s="1"/>
  <c r="AH53" i="4" s="1"/>
  <c r="Y23" i="4"/>
  <c r="Y71" i="4"/>
  <c r="AH68" i="4" s="1"/>
  <c r="AK68" i="4" s="1"/>
  <c r="AL68" i="4" s="1"/>
  <c r="H60" i="4"/>
  <c r="Y60" i="4" s="1"/>
  <c r="Y61" i="4" s="1"/>
  <c r="AH58" i="4" s="1"/>
  <c r="N22" i="4"/>
  <c r="Y22" i="4" s="1"/>
  <c r="Y14" i="4"/>
  <c r="AD24" i="3"/>
  <c r="F30" i="6"/>
  <c r="F31" i="6"/>
  <c r="AK53" i="4" l="1"/>
  <c r="AL53" i="4" s="1"/>
  <c r="AM53" i="4" s="1"/>
  <c r="AN53" i="4" s="1"/>
  <c r="AK58" i="4"/>
  <c r="AL58" i="4" s="1"/>
  <c r="AM58" i="4" s="1"/>
  <c r="AN58" i="4" s="1"/>
  <c r="AI63" i="4"/>
  <c r="AM68" i="4"/>
  <c r="AN68" i="4" s="1"/>
  <c r="H65" i="4"/>
  <c r="Y65" i="4" s="1"/>
  <c r="Y66" i="4" s="1"/>
  <c r="AH63" i="4" s="1"/>
  <c r="Y24" i="4"/>
  <c r="Y45" i="4" s="1"/>
  <c r="AD29" i="3"/>
  <c r="AD26" i="3"/>
  <c r="I15" i="3"/>
  <c r="AD15" i="3" s="1"/>
  <c r="AK63" i="4" l="1"/>
  <c r="AL63" i="4" s="1"/>
  <c r="AM63" i="4" s="1"/>
  <c r="AN63" i="4" s="1"/>
  <c r="AD33" i="2"/>
  <c r="O1" i="3" l="1"/>
  <c r="O1" i="2"/>
  <c r="Y4" i="5" l="1"/>
  <c r="S1" i="5" l="1"/>
  <c r="Y2" i="2"/>
  <c r="T2" i="2"/>
  <c r="P2" i="2"/>
  <c r="Y2" i="3"/>
  <c r="T2" i="3"/>
  <c r="P2" i="3"/>
  <c r="T3" i="5" l="1"/>
  <c r="AC2" i="5"/>
  <c r="S3" i="5"/>
  <c r="AB2" i="5"/>
  <c r="X2" i="5"/>
  <c r="W2" i="5"/>
  <c r="T2" i="5"/>
  <c r="S2" i="5"/>
  <c r="O3" i="3"/>
  <c r="X2" i="3"/>
  <c r="S2" i="3"/>
  <c r="O2" i="3"/>
  <c r="O3" i="2"/>
  <c r="X2" i="2"/>
  <c r="AD37" i="2"/>
  <c r="S2" i="2"/>
  <c r="O2" i="2"/>
  <c r="AE14" i="3" l="1"/>
  <c r="AD14" i="3"/>
  <c r="AE37" i="2"/>
  <c r="AE36" i="2"/>
  <c r="AE19" i="2"/>
  <c r="AE15" i="2"/>
  <c r="AE22" i="2"/>
  <c r="AE30" i="3"/>
  <c r="AE17" i="3"/>
  <c r="AE16" i="3"/>
  <c r="AE15" i="3"/>
  <c r="AD19" i="2"/>
  <c r="AD16" i="2"/>
  <c r="AD16" i="3"/>
  <c r="AD15" i="2"/>
  <c r="AE16" i="2"/>
  <c r="AD31" i="3" l="1"/>
  <c r="AD25" i="3" l="1"/>
  <c r="H6" i="6" l="1"/>
  <c r="Y5" i="6"/>
  <c r="H5" i="6"/>
  <c r="AF4" i="6"/>
  <c r="Y4" i="6"/>
  <c r="U4" i="6"/>
  <c r="R33" i="6"/>
  <c r="R34" i="6" s="1"/>
  <c r="AF4" i="5" l="1"/>
  <c r="U4" i="5"/>
  <c r="AB4" i="3" l="1"/>
  <c r="AB4" i="2"/>
  <c r="Y5" i="5" l="1"/>
  <c r="H6" i="5"/>
  <c r="H5" i="5"/>
  <c r="AE43" i="5"/>
  <c r="AE47" i="5"/>
  <c r="AE51" i="5"/>
  <c r="AE15" i="5"/>
  <c r="AE19" i="5"/>
  <c r="AE23" i="5"/>
  <c r="AE27" i="5"/>
  <c r="AE31" i="5"/>
  <c r="AE35" i="5"/>
  <c r="AE39" i="5"/>
  <c r="AE11" i="5"/>
  <c r="F57" i="5" l="1"/>
  <c r="U4" i="3" l="1"/>
  <c r="Q4" i="3"/>
  <c r="U4" i="2"/>
  <c r="Q4" i="2"/>
  <c r="AD32" i="2"/>
  <c r="AD31" i="2" l="1"/>
  <c r="AD23" i="2" l="1"/>
  <c r="W22" i="2"/>
  <c r="AD24" i="2" l="1"/>
  <c r="AD30" i="3" l="1"/>
  <c r="AD35" i="2"/>
  <c r="AD28" i="3" l="1"/>
  <c r="AD27" i="3"/>
  <c r="AD23" i="3"/>
  <c r="AD22" i="3"/>
  <c r="AD21" i="3"/>
  <c r="AD20" i="3"/>
  <c r="W19" i="3"/>
  <c r="O19" i="3"/>
  <c r="H7" i="3"/>
  <c r="V6" i="3"/>
  <c r="H6" i="3"/>
  <c r="AD36" i="2"/>
  <c r="AD34" i="2"/>
  <c r="AD30" i="2"/>
  <c r="AD29" i="2"/>
  <c r="AD28" i="2"/>
  <c r="AD27" i="2"/>
  <c r="W26" i="2"/>
  <c r="O26" i="2"/>
  <c r="I26" i="2"/>
  <c r="AD25" i="2"/>
  <c r="O22" i="2"/>
  <c r="W17" i="3" s="1"/>
  <c r="I22" i="2"/>
  <c r="AD21" i="2"/>
  <c r="AD20" i="2"/>
  <c r="AD18" i="2"/>
  <c r="AD17" i="2"/>
  <c r="AD14" i="2"/>
  <c r="AD13" i="2"/>
  <c r="H7" i="2"/>
  <c r="W6" i="2"/>
  <c r="H6" i="2"/>
  <c r="O17" i="3" l="1"/>
  <c r="AD17" i="3" s="1"/>
  <c r="AD18" i="3"/>
  <c r="AD26" i="2"/>
  <c r="AD22" i="2"/>
  <c r="AD19" i="3"/>
  <c r="AD38" i="2" l="1"/>
  <c r="AD32" i="3"/>
  <c r="N12" i="4" s="1"/>
  <c r="Y12" i="4" s="1"/>
  <c r="N29" i="4" l="1"/>
  <c r="Y29" i="4" s="1"/>
  <c r="N28" i="4"/>
  <c r="N27" i="4"/>
  <c r="Y13" i="4"/>
  <c r="Y15" i="4" s="1"/>
  <c r="Y28" i="4" l="1"/>
  <c r="AJ48" i="4"/>
  <c r="AM10" i="6" s="1"/>
  <c r="Y27" i="4"/>
  <c r="Y31" i="4" s="1"/>
  <c r="AI48" i="4"/>
  <c r="AL10" i="6" s="1"/>
  <c r="Y16" i="4"/>
  <c r="Y17" i="4" s="1"/>
  <c r="Y37" i="4" s="1"/>
  <c r="AH37" i="4" s="1"/>
  <c r="H10" i="6" l="1"/>
  <c r="AL30" i="6"/>
  <c r="AL22" i="6"/>
  <c r="AL17" i="6"/>
  <c r="AL25" i="6"/>
  <c r="AL29" i="6"/>
  <c r="AL15" i="6"/>
  <c r="AL16" i="6"/>
  <c r="AL24" i="6"/>
  <c r="AL19" i="6"/>
  <c r="AL23" i="6"/>
  <c r="AL27" i="6"/>
  <c r="AL18" i="6"/>
  <c r="AL20" i="6"/>
  <c r="AL26" i="6"/>
  <c r="AL28" i="6"/>
  <c r="AL21" i="6"/>
  <c r="AM29" i="6"/>
  <c r="AM30" i="6"/>
  <c r="AM17" i="6"/>
  <c r="AM16" i="6"/>
  <c r="AM23" i="6"/>
  <c r="AM24" i="6"/>
  <c r="AM27" i="6"/>
  <c r="AM19" i="6"/>
  <c r="AM18" i="6"/>
  <c r="AM20" i="6"/>
  <c r="AM25" i="6"/>
  <c r="AM21" i="6"/>
  <c r="AM22" i="6"/>
  <c r="AM28" i="6"/>
  <c r="AM26" i="6"/>
  <c r="AM15" i="6"/>
  <c r="Y30" i="4"/>
  <c r="AK37" i="4"/>
  <c r="AL37" i="4" s="1"/>
  <c r="AM37" i="4" s="1"/>
  <c r="AN37" i="4" s="1"/>
  <c r="Y10" i="6"/>
  <c r="AL31" i="6" l="1"/>
  <c r="AL14" i="6" s="1"/>
  <c r="Y32" i="4"/>
  <c r="AM31" i="6"/>
  <c r="AM14" i="6" s="1"/>
  <c r="Y33" i="4"/>
  <c r="H11" i="6"/>
  <c r="Y34" i="4" l="1"/>
  <c r="Y48" i="4" s="1"/>
  <c r="AH48" i="4" s="1"/>
  <c r="AK48" i="4" s="1"/>
  <c r="AL48" i="4" s="1"/>
  <c r="AM48" i="4" s="1"/>
  <c r="AN48" i="4" s="1"/>
  <c r="AN10" i="6"/>
  <c r="Y11" i="6"/>
  <c r="Y33" i="6" l="1"/>
  <c r="Y15" i="6" l="1"/>
  <c r="AK15" i="6" s="1"/>
  <c r="Y14" i="6"/>
  <c r="Y27" i="6"/>
  <c r="AK27" i="6" s="1"/>
  <c r="AN27" i="6" s="1"/>
  <c r="AO27" i="6" s="1"/>
  <c r="AP27" i="6" s="1"/>
  <c r="AQ27" i="6" s="1"/>
  <c r="Y28" i="6"/>
  <c r="AK28" i="6" s="1"/>
  <c r="AN28" i="6" s="1"/>
  <c r="AO28" i="6" s="1"/>
  <c r="AP28" i="6" s="1"/>
  <c r="AQ28" i="6" s="1"/>
  <c r="Y21" i="6"/>
  <c r="AK21" i="6" s="1"/>
  <c r="AN21" i="6" s="1"/>
  <c r="AO21" i="6" s="1"/>
  <c r="AP21" i="6" s="1"/>
  <c r="AQ21" i="6" s="1"/>
  <c r="Y23" i="6"/>
  <c r="AK23" i="6" s="1"/>
  <c r="AN23" i="6" s="1"/>
  <c r="AO23" i="6" s="1"/>
  <c r="AP23" i="6" s="1"/>
  <c r="AQ23" i="6" s="1"/>
  <c r="Y24" i="6"/>
  <c r="AK24" i="6" s="1"/>
  <c r="Y25" i="6"/>
  <c r="AK25" i="6" s="1"/>
  <c r="AN25" i="6" s="1"/>
  <c r="AO25" i="6" s="1"/>
  <c r="AP25" i="6" s="1"/>
  <c r="AQ25" i="6" s="1"/>
  <c r="Y18" i="6"/>
  <c r="AK18" i="6" s="1"/>
  <c r="Y26" i="6"/>
  <c r="AK26" i="6" s="1"/>
  <c r="Y17" i="6"/>
  <c r="AK17" i="6" s="1"/>
  <c r="Y19" i="6"/>
  <c r="AK19" i="6" s="1"/>
  <c r="Y22" i="6"/>
  <c r="AK22" i="6" s="1"/>
  <c r="Y16" i="6"/>
  <c r="AK16" i="6" s="1"/>
  <c r="AN16" i="6" s="1"/>
  <c r="AO16" i="6" s="1"/>
  <c r="AP16" i="6" s="1"/>
  <c r="AQ16" i="6" s="1"/>
  <c r="Y29" i="6"/>
  <c r="AK29" i="6" s="1"/>
  <c r="Y20" i="6"/>
  <c r="AK20" i="6" s="1"/>
  <c r="AN20" i="6" s="1"/>
  <c r="AO20" i="6" s="1"/>
  <c r="AP20" i="6" s="1"/>
  <c r="AQ20" i="6" s="1"/>
  <c r="AN29" i="6" l="1"/>
  <c r="AO29" i="6" s="1"/>
  <c r="AP29" i="6" s="1"/>
  <c r="AQ29" i="6" s="1"/>
  <c r="AN19" i="6"/>
  <c r="AO19" i="6" s="1"/>
  <c r="AP19" i="6" s="1"/>
  <c r="AQ19" i="6" s="1"/>
  <c r="AN24" i="6"/>
  <c r="AO24" i="6" s="1"/>
  <c r="AP24" i="6" s="1"/>
  <c r="AQ24" i="6" s="1"/>
  <c r="AN22" i="6"/>
  <c r="AO22" i="6" s="1"/>
  <c r="AP22" i="6" s="1"/>
  <c r="AQ22" i="6" s="1"/>
  <c r="AN17" i="6"/>
  <c r="AO17" i="6" s="1"/>
  <c r="AP17" i="6" s="1"/>
  <c r="AQ17" i="6" s="1"/>
  <c r="AN26" i="6"/>
  <c r="AO26" i="6" s="1"/>
  <c r="AP26" i="6" s="1"/>
  <c r="AQ26" i="6" s="1"/>
  <c r="AN18" i="6"/>
  <c r="AO18" i="6" s="1"/>
  <c r="AP18" i="6" s="1"/>
  <c r="AQ18" i="6" s="1"/>
  <c r="AN15" i="6"/>
  <c r="AO15" i="6" s="1"/>
  <c r="AP15" i="6" s="1"/>
  <c r="AQ15" i="6" s="1"/>
  <c r="AC30" i="6"/>
  <c r="AG30" i="6" l="1"/>
  <c r="AF14" i="6"/>
  <c r="AH30" i="6"/>
  <c r="AG14" i="6"/>
  <c r="AK14" i="6" s="1"/>
  <c r="R30" i="6"/>
  <c r="R31" i="6" s="1"/>
  <c r="AN14" i="6" l="1"/>
  <c r="AO14" i="6" s="1"/>
  <c r="AP14" i="6" s="1"/>
  <c r="AQ14" i="6" s="1"/>
</calcChain>
</file>

<file path=xl/sharedStrings.xml><?xml version="1.0" encoding="utf-8"?>
<sst xmlns="http://schemas.openxmlformats.org/spreadsheetml/2006/main" count="676" uniqueCount="434">
  <si>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</si>
  <si>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</si>
  <si>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</si>
  <si>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</si>
  <si>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</si>
  <si>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</si>
  <si>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</si>
  <si>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</si>
  <si>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</si>
  <si>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</si>
  <si>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</si>
  <si>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</si>
  <si>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</si>
  <si>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</si>
  <si>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</si>
  <si>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</si>
  <si>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</si>
  <si>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</si>
  <si>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</si>
  <si>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要素</t>
    <rPh sb="0" eb="2">
      <t>ヨウソ</t>
    </rPh>
    <phoneticPr fontId="5"/>
  </si>
  <si>
    <t>被験者の選出
（適格＋除外基準数）</t>
    <phoneticPr fontId="5"/>
  </si>
  <si>
    <t>（ウエイト×</t>
    <phoneticPr fontId="5"/>
  </si>
  <si>
    <t>）</t>
    <phoneticPr fontId="2"/>
  </si>
  <si>
    <t>回)</t>
    <phoneticPr fontId="2"/>
  </si>
  <si>
    <t>整理番号</t>
    <rPh sb="0" eb="2">
      <t>セイリ</t>
    </rPh>
    <rPh sb="2" eb="4">
      <t>バンゴウ</t>
    </rPh>
    <phoneticPr fontId="2"/>
  </si>
  <si>
    <t>投与期間</t>
  </si>
  <si>
    <t>実施計画書番号</t>
    <phoneticPr fontId="2"/>
  </si>
  <si>
    <t>（ウエイト×</t>
    <phoneticPr fontId="2"/>
  </si>
  <si>
    <t>×</t>
    <phoneticPr fontId="2"/>
  </si>
  <si>
    <t>単回</t>
    <phoneticPr fontId="2"/>
  </si>
  <si>
    <t>オープン</t>
    <phoneticPr fontId="2"/>
  </si>
  <si>
    <t>二重盲検</t>
    <phoneticPr fontId="2"/>
  </si>
  <si>
    <t>単盲検</t>
    <phoneticPr fontId="2"/>
  </si>
  <si>
    <t xml:space="preserve">４週間以内  </t>
    <phoneticPr fontId="2"/>
  </si>
  <si>
    <t xml:space="preserve">５～２４週  </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</si>
  <si>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</si>
  <si>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</si>
  <si>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</si>
  <si>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</si>
  <si>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</si>
  <si>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</si>
  <si>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</si>
  <si>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</si>
  <si>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</si>
  <si>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</si>
  <si>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</si>
  <si>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</si>
  <si>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</si>
  <si>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</si>
  <si>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</si>
  <si>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</si>
  <si>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</si>
  <si>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</si>
  <si>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</si>
  <si>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</si>
  <si>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</si>
  <si>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</si>
  <si>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</si>
  <si>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</si>
  <si>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</si>
  <si>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</si>
  <si>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</si>
  <si>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</si>
  <si>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</si>
  <si>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</si>
  <si>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デザイン</t>
    <phoneticPr fontId="2"/>
  </si>
  <si>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</si>
  <si>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</si>
  <si>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</si>
  <si>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</si>
  <si>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</si>
  <si>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</si>
  <si>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</si>
  <si>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</si>
  <si>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</si>
  <si>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</si>
  <si>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</si>
  <si>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</si>
  <si>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</si>
  <si>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</si>
  <si>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</si>
  <si>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</si>
  <si>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</si>
  <si>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</si>
  <si>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</si>
  <si>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</si>
  <si>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</si>
  <si>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</si>
  <si>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</si>
  <si>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</si>
  <si>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</si>
  <si>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２～５回</t>
    <phoneticPr fontId="2"/>
  </si>
  <si>
    <t>内訳</t>
    <rPh sb="0" eb="2">
      <t>ウチワケ</t>
    </rPh>
    <phoneticPr fontId="2"/>
  </si>
  <si>
    <t>契約単位</t>
    <rPh sb="0" eb="2">
      <t>ケイヤク</t>
    </rPh>
    <rPh sb="2" eb="4">
      <t>タンイ</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</si>
  <si>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</si>
  <si>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</si>
  <si>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</si>
  <si>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</si>
  <si>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</si>
  <si>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</si>
  <si>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</si>
  <si>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</si>
  <si>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</si>
  <si>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</si>
  <si>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</si>
  <si>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</si>
  <si>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N</t>
    <phoneticPr fontId="2"/>
  </si>
  <si>
    <t>P</t>
    <phoneticPr fontId="5"/>
  </si>
  <si>
    <t>Q</t>
    <phoneticPr fontId="5"/>
  </si>
  <si>
    <t>R</t>
    <phoneticPr fontId="5"/>
  </si>
  <si>
    <t>S</t>
    <phoneticPr fontId="5"/>
  </si>
  <si>
    <t>T</t>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</si>
  <si>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</si>
  <si>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</si>
  <si>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</si>
  <si>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</si>
  <si>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</si>
  <si>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非盲検担当者の設置</t>
    <rPh sb="0" eb="1">
      <t>ヒ</t>
    </rPh>
    <rPh sb="1" eb="3">
      <t>モウケン</t>
    </rPh>
    <rPh sb="3" eb="6">
      <t>タントウシャ</t>
    </rPh>
    <rPh sb="7" eb="9">
      <t>セッチ</t>
    </rPh>
    <phoneticPr fontId="2"/>
  </si>
  <si>
    <t>種類)</t>
    <rPh sb="0" eb="2">
      <t>シュルイ</t>
    </rPh>
    <phoneticPr fontId="2"/>
  </si>
  <si>
    <t>例</t>
    <phoneticPr fontId="2"/>
  </si>
  <si>
    <t>ヶ月</t>
    <rPh sb="1" eb="2">
      <t>ゲツ</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</si>
  <si>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</si>
  <si>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</si>
  <si>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</si>
  <si>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</si>
  <si>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</si>
  <si>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</si>
  <si>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</si>
  <si>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</si>
  <si>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</si>
  <si>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</si>
  <si>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</si>
  <si>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</si>
  <si>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希少疾病に該当する場合算定すること。</t>
    <rPh sb="0" eb="2">
      <t>キショウ</t>
    </rPh>
    <rPh sb="2" eb="4">
      <t>シッペイ</t>
    </rPh>
    <rPh sb="5" eb="7">
      <t>ガイトウ</t>
    </rPh>
    <rPh sb="9" eb="11">
      <t>バアイ</t>
    </rPh>
    <rPh sb="11" eb="13">
      <t>サンテイ</t>
    </rPh>
    <phoneticPr fontId="2"/>
  </si>
  <si>
    <t>V</t>
    <phoneticPr fontId="5"/>
  </si>
  <si>
    <t>・実施時金額</t>
    <rPh sb="1" eb="4">
      <t>ジッシジ</t>
    </rPh>
    <rPh sb="4" eb="6">
      <t>キンガク</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</si>
  <si>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</si>
  <si>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</si>
  <si>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</si>
  <si>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</si>
  <si>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t>
    <phoneticPr fontId="2"/>
  </si>
  <si>
    <t>■</t>
  </si>
  <si>
    <t>治験</t>
    <phoneticPr fontId="2"/>
  </si>
  <si>
    <t>製造販売後臨床試験</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</si>
  <si>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</si>
  <si>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</si>
  <si>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</si>
  <si>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</si>
  <si>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</si>
  <si>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</si>
  <si>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</si>
  <si>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</si>
  <si>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</si>
  <si>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×項目数(</t>
    <rPh sb="1" eb="3">
      <t>コウモク</t>
    </rPh>
    <phoneticPr fontId="2"/>
  </si>
  <si>
    <t>)</t>
    <phoneticPr fontId="2"/>
  </si>
  <si>
    <t>新規申請</t>
    <rPh sb="0" eb="2">
      <t>シンキ</t>
    </rPh>
    <rPh sb="2" eb="4">
      <t>シンセイ</t>
    </rPh>
    <phoneticPr fontId="2"/>
  </si>
  <si>
    <t>変更申請</t>
    <rPh sb="0" eb="2">
      <t>ヘンコウ</t>
    </rPh>
    <rPh sb="2" eb="4">
      <t>シンセイ</t>
    </rPh>
    <phoneticPr fontId="2"/>
  </si>
  <si>
    <t>年間</t>
    <rPh sb="0" eb="2">
      <t>ネンカン</t>
    </rPh>
    <phoneticPr fontId="2"/>
  </si>
  <si>
    <t>試験終了予定日：</t>
    <rPh sb="0" eb="2">
      <t>シケン</t>
    </rPh>
    <rPh sb="2" eb="4">
      <t>シュウリョウ</t>
    </rPh>
    <rPh sb="4" eb="7">
      <t>ヨテイビ</t>
    </rPh>
    <phoneticPr fontId="2"/>
  </si>
  <si>
    <t>試験期間：</t>
    <rPh sb="0" eb="2">
      <t>シケン</t>
    </rPh>
    <rPh sb="2" eb="4">
      <t>キカン</t>
    </rPh>
    <phoneticPr fontId="2"/>
  </si>
  <si>
    <t>(</t>
    <phoneticPr fontId="2"/>
  </si>
  <si>
    <t>×種類</t>
    <rPh sb="1" eb="3">
      <t>シュルイ</t>
    </rPh>
    <phoneticPr fontId="2"/>
  </si>
  <si>
    <t>(</t>
    <phoneticPr fontId="2"/>
  </si>
  <si>
    <t>×回数</t>
    <phoneticPr fontId="2"/>
  </si>
  <si>
    <t>試験期間内に治験のための入院が必須の場合、入院にカウントすること。</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</si>
  <si>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</si>
  <si>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</si>
  <si>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二重盲検試験において、非盲検担当者の設置が規定されている場合に算定すること。</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</si>
  <si>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</si>
  <si>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</si>
  <si>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</si>
  <si>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</si>
  <si>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</si>
  <si>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</si>
  <si>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</si>
  <si>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</si>
  <si>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</si>
  <si>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</si>
  <si>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</si>
  <si>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</si>
  <si>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</si>
  <si>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</si>
  <si>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</si>
  <si>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</si>
  <si>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</si>
  <si>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</si>
  <si>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円</t>
    <phoneticPr fontId="2"/>
  </si>
  <si>
    <t>ポイント</t>
    <phoneticPr fontId="2"/>
  </si>
  <si>
    <t>・間接経費（３０％）</t>
    <rPh sb="1" eb="3">
      <t>カンセツ</t>
    </rPh>
    <rPh sb="3" eb="5">
      <t>ケイヒ</t>
    </rPh>
    <phoneticPr fontId="2"/>
  </si>
  <si>
    <t>C.</t>
    <phoneticPr fontId="2"/>
  </si>
  <si>
    <t>A.</t>
    <phoneticPr fontId="2"/>
  </si>
  <si>
    <t>B.</t>
    <phoneticPr fontId="2"/>
  </si>
  <si>
    <t>D.</t>
    <phoneticPr fontId="2"/>
  </si>
  <si>
    <t>E.</t>
    <phoneticPr fontId="2"/>
  </si>
  <si>
    <t>F.</t>
    <phoneticPr fontId="2"/>
  </si>
  <si>
    <t>G.</t>
    <phoneticPr fontId="2"/>
  </si>
  <si>
    <t>H.</t>
    <phoneticPr fontId="2"/>
  </si>
  <si>
    <t>I.</t>
    <phoneticPr fontId="2"/>
  </si>
  <si>
    <t>西暦</t>
    <rPh sb="0" eb="2">
      <t>セイレキ</t>
    </rPh>
    <phoneticPr fontId="2"/>
  </si>
  <si>
    <t>新規申請</t>
    <phoneticPr fontId="2"/>
  </si>
  <si>
    <t>変更申請</t>
    <rPh sb="0" eb="2">
      <t>ヘンコウ</t>
    </rPh>
    <rPh sb="2" eb="4">
      <t>シンセイ</t>
    </rPh>
    <phoneticPr fontId="2"/>
  </si>
  <si>
    <t>新規申請</t>
    <rPh sb="0" eb="2">
      <t>シンキ</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</si>
  <si>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</si>
  <si>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</si>
  <si>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</si>
  <si>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</si>
  <si>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</si>
  <si>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</si>
  <si>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</si>
  <si>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</si>
  <si>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</si>
  <si>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（１）スクリーニング経費</t>
    <rPh sb="10" eb="12">
      <t>ケイヒ</t>
    </rPh>
    <phoneticPr fontId="2"/>
  </si>
  <si>
    <t>（２）審査費用</t>
    <rPh sb="3" eb="5">
      <t>シンサ</t>
    </rPh>
    <rPh sb="5" eb="7">
      <t>ヒヨウ</t>
    </rPh>
    <phoneticPr fontId="2"/>
  </si>
  <si>
    <t>（４）管理費</t>
    <rPh sb="3" eb="5">
      <t>カンリ</t>
    </rPh>
    <phoneticPr fontId="2"/>
  </si>
  <si>
    <t>｛（１）＋（２）＋（３）｝×１０％</t>
    <phoneticPr fontId="2"/>
  </si>
  <si>
    <t>金額（消費税別）</t>
    <rPh sb="0" eb="2">
      <t>キンガク</t>
    </rPh>
    <rPh sb="3" eb="6">
      <t>ショウヒゼイ</t>
    </rPh>
    <rPh sb="6" eb="7">
      <t>ベツ</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</si>
  <si>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</si>
  <si>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</si>
  <si>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</si>
  <si>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評価の対象である被験薬の製造承認状況について算定すること。なお、製造販売後臨床試験の場合は、当該要素を算定しない。</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</si>
  <si>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</si>
  <si>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本要素のポイントを算定しない。</t>
    <phoneticPr fontId="2"/>
  </si>
  <si>
    <t>拡大治験の基となる治験が附属病院またはセンター病院で実施されている場合は、本要素のポイントを算定しない。</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</si>
  <si>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</si>
  <si>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</si>
  <si>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</si>
  <si>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</si>
  <si>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</si>
  <si>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</si>
  <si>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</si>
  <si>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</si>
  <si>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</si>
  <si>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</si>
  <si>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</si>
  <si>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</si>
  <si>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</si>
  <si>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</si>
  <si>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</si>
  <si>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</si>
  <si>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</si>
  <si>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</si>
  <si>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</si>
  <si>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</si>
  <si>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</si>
  <si>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消費税別</t>
    <phoneticPr fontId="2"/>
  </si>
  <si>
    <t>円</t>
    <rPh sb="0" eb="1">
      <t>エン</t>
    </rPh>
    <phoneticPr fontId="2"/>
  </si>
  <si>
    <t>年</t>
    <rPh sb="0" eb="1">
      <t>ネン</t>
    </rPh>
    <phoneticPr fontId="2"/>
  </si>
  <si>
    <t>非課税</t>
    <rPh sb="0" eb="3">
      <t>ヒカゼイ</t>
    </rPh>
    <phoneticPr fontId="2"/>
  </si>
  <si>
    <t>N</t>
    <phoneticPr fontId="5"/>
  </si>
  <si>
    <t>試験で想定する被験者層について、Common Terminology Criteria for Adverse Events (CTCAE) Version 5.0「有害事象共通用語規準 v5.0 日本語訳JCOG 版（略称：CTCAE v5.0-JCOG）」を参考とし、原則としてGrade 1を「軽症」、Grade 2を「中等症」、Grade 3以上を「重症・重篤」として算定すること。なお、CTCAE v5.0-JCOGが改訂された場合は、経費算定時の最新版を用いることとする（日本臨床腫瘍研究グループのホームページ参照：http://www.jcog.jp/index.htm）。</t>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</si>
  <si>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</si>
  <si>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</si>
  <si>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</si>
  <si>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</si>
  <si>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</si>
  <si>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</si>
  <si>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202●/●/●</t>
    <phoneticPr fontId="2"/>
  </si>
  <si>
    <t>・間接経費</t>
    <rPh sb="1" eb="3">
      <t>カンセツ</t>
    </rPh>
    <rPh sb="3" eb="5">
      <t>ケイヒ</t>
    </rPh>
    <phoneticPr fontId="2"/>
  </si>
  <si>
    <t>YC書式520</t>
    <phoneticPr fontId="2"/>
  </si>
  <si>
    <t>治験研究経費ポイント算出表（再生医療等製品）</t>
    <rPh sb="0" eb="2">
      <t>チケン</t>
    </rPh>
    <phoneticPr fontId="5"/>
  </si>
  <si>
    <t>被験製品の名称
又は識別記号</t>
    <phoneticPr fontId="2"/>
  </si>
  <si>
    <t>製造承認の状況</t>
    <phoneticPr fontId="2"/>
  </si>
  <si>
    <t>対照製品の使用</t>
    <phoneticPr fontId="5"/>
  </si>
  <si>
    <t>併用療法</t>
    <rPh sb="2" eb="4">
      <t>リョウホウ</t>
    </rPh>
    <phoneticPr fontId="2"/>
  </si>
  <si>
    <t>投与経路</t>
    <phoneticPr fontId="5"/>
  </si>
  <si>
    <t>投与期間</t>
    <phoneticPr fontId="5"/>
  </si>
  <si>
    <t>カルタヘナ法の規制要件</t>
    <rPh sb="5" eb="6">
      <t>ホウ</t>
    </rPh>
    <rPh sb="7" eb="9">
      <t>キセイ</t>
    </rPh>
    <rPh sb="9" eb="11">
      <t>ヨウケン</t>
    </rPh>
    <phoneticPr fontId="5"/>
  </si>
  <si>
    <t>第一種使用等</t>
    <rPh sb="0" eb="3">
      <t>ダイイッシュ</t>
    </rPh>
    <rPh sb="3" eb="5">
      <t>シヨウ</t>
    </rPh>
    <rPh sb="5" eb="6">
      <t>トウ</t>
    </rPh>
    <phoneticPr fontId="5"/>
  </si>
  <si>
    <t>第二種使用等</t>
    <rPh sb="0" eb="3">
      <t>ダイニシュ</t>
    </rPh>
    <rPh sb="3" eb="5">
      <t>シヨウ</t>
    </rPh>
    <rPh sb="5" eb="6">
      <t>トウ</t>
    </rPh>
    <phoneticPr fontId="2"/>
  </si>
  <si>
    <t>W</t>
    <phoneticPr fontId="2"/>
  </si>
  <si>
    <t>相の種類</t>
    <phoneticPr fontId="5"/>
  </si>
  <si>
    <t>Ⅱ相・Ⅲ相</t>
    <rPh sb="4" eb="5">
      <t>ソウ</t>
    </rPh>
    <phoneticPr fontId="5"/>
  </si>
  <si>
    <t>Ⅰ相</t>
    <phoneticPr fontId="2"/>
  </si>
  <si>
    <t>試験の開発相について算定すること。なお、試験が異なる相にまたがる場合には、ポイントが高くなるように算定すること。</t>
  </si>
  <si>
    <t>本要素のポイントを算出しない。</t>
    <rPh sb="0" eb="1">
      <t>ホン</t>
    </rPh>
    <rPh sb="1" eb="3">
      <t>ヨウソ</t>
    </rPh>
    <rPh sb="9" eb="11">
      <t>サンシュツ</t>
    </rPh>
    <phoneticPr fontId="2"/>
  </si>
  <si>
    <t>A～Wの合計ポイント数：</t>
    <phoneticPr fontId="2"/>
  </si>
  <si>
    <t>特定の薬剤・医療機器
のみ併用禁止</t>
    <rPh sb="0" eb="2">
      <t>トクテイ</t>
    </rPh>
    <rPh sb="3" eb="5">
      <t>ヤクザイ</t>
    </rPh>
    <rPh sb="6" eb="8">
      <t>イリョウ</t>
    </rPh>
    <rPh sb="8" eb="10">
      <t>キキ</t>
    </rPh>
    <rPh sb="13" eb="15">
      <t>ヘイヨウ</t>
    </rPh>
    <phoneticPr fontId="2"/>
  </si>
  <si>
    <t>全ての薬剤・医療機器
の併用禁止</t>
    <rPh sb="0" eb="1">
      <t>スベ</t>
    </rPh>
    <rPh sb="3" eb="5">
      <t>ヤクザイ</t>
    </rPh>
    <rPh sb="6" eb="8">
      <t>イリョウ</t>
    </rPh>
    <rPh sb="8" eb="10">
      <t>キキ</t>
    </rPh>
    <rPh sb="12" eb="14">
      <t>ヘイヨウ</t>
    </rPh>
    <phoneticPr fontId="2"/>
  </si>
  <si>
    <t>注射</t>
    <rPh sb="0" eb="2">
      <t>チュウシャ</t>
    </rPh>
    <phoneticPr fontId="2"/>
  </si>
  <si>
    <t>手術を伴うもの</t>
    <rPh sb="0" eb="2">
      <t>シュジュツ</t>
    </rPh>
    <rPh sb="3" eb="4">
      <t>トモナ</t>
    </rPh>
    <phoneticPr fontId="5"/>
  </si>
  <si>
    <r>
      <t xml:space="preserve">小児、成人
</t>
    </r>
    <r>
      <rPr>
        <sz val="9"/>
        <rFont val="ＭＳ Ｐゴシック"/>
        <family val="3"/>
        <charset val="128"/>
      </rPr>
      <t>（高齢者、肝、腎臓障害等
合併有）</t>
    </r>
    <phoneticPr fontId="5"/>
  </si>
  <si>
    <t>YC書式521</t>
    <phoneticPr fontId="2"/>
  </si>
  <si>
    <t>YC書式522</t>
    <rPh sb="2" eb="4">
      <t>ショシキ</t>
    </rPh>
    <phoneticPr fontId="2"/>
  </si>
  <si>
    <t>被験製品の名称
又は識別記号</t>
    <rPh sb="2" eb="4">
      <t>セイヒン</t>
    </rPh>
    <rPh sb="5" eb="7">
      <t>メイショウ</t>
    </rPh>
    <phoneticPr fontId="2"/>
  </si>
  <si>
    <t>対照製品の使用</t>
    <rPh sb="0" eb="2">
      <t>タイショウ</t>
    </rPh>
    <rPh sb="2" eb="4">
      <t>セイヒン</t>
    </rPh>
    <rPh sb="5" eb="7">
      <t>シヨウ</t>
    </rPh>
    <phoneticPr fontId="2"/>
  </si>
  <si>
    <t>治験製品管理経費　ポイント算出表（再生医療等製品）</t>
    <rPh sb="2" eb="4">
      <t>セイヒン</t>
    </rPh>
    <rPh sb="17" eb="21">
      <t>サイセイイリョウ</t>
    </rPh>
    <rPh sb="21" eb="22">
      <t>トウ</t>
    </rPh>
    <rPh sb="22" eb="24">
      <t>セイヒン</t>
    </rPh>
    <phoneticPr fontId="5"/>
  </si>
  <si>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</si>
  <si>
    <t>対照となる治療群に対照製品（プラセボを含む）を使用する場合に算定すること。</t>
  </si>
  <si>
    <t>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</si>
  <si>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治験製品を管理する者（保管管理又は調製等を行うスタッフを含む）が、GCPやEDC、IXRS等のトレーニングなどを要する場合に算定すること。</t>
  </si>
  <si>
    <t>治験製品（治験製品と同等に管理を求められる再生医療等製品や薬剤などを含む）の投与に際して、治験製品を保管場所から出庫する回数について算定すること。ただし、投与期間が固定されていない場合には、想定される平均的な出庫回数を算定することとするが、実際の出庫回数が著しく平均値を越える場合には、試験終了時までに追加算定すること。なお、投与期間が長期に渡る場合には、期間を分割して算定しても構わない。</t>
    <phoneticPr fontId="2"/>
  </si>
  <si>
    <t>治験製品（治験製品と同等に管理を求められる再生医療等製品や薬剤などを含む）の投与に際して、治験製品の溶解・希釈・混合等の調製を行う場合に算定すること。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トウヨ</t>
    </rPh>
    <rPh sb="41" eb="42">
      <t>サイ</t>
    </rPh>
    <rPh sb="45" eb="47">
      <t>チケン</t>
    </rPh>
    <rPh sb="47" eb="49">
      <t>セイヒン</t>
    </rPh>
    <rPh sb="50" eb="52">
      <t>ヨウカイ</t>
    </rPh>
    <rPh sb="53" eb="55">
      <t>キシャク</t>
    </rPh>
    <rPh sb="56" eb="59">
      <t>コンゴウナド</t>
    </rPh>
    <rPh sb="60" eb="62">
      <t>チョウセイ</t>
    </rPh>
    <rPh sb="63" eb="64">
      <t>オコナ</t>
    </rPh>
    <rPh sb="65" eb="67">
      <t>バアイ</t>
    </rPh>
    <rPh sb="68" eb="70">
      <t>サンテイ</t>
    </rPh>
    <phoneticPr fontId="2"/>
  </si>
  <si>
    <t>治験製品（治験製品と同等に管理を求められる再生医療等製品や薬剤などを含む）の保管要件について算定すること。なお、保管方法が異なる治験製品がある場合には、ポイント数が高くなるよう算定すること。また、室温保管が規定されている治験製品を恒温槽や冷蔵庫にて保管する場合は、「冷蔵庫又は恒温槽」として算定すること。</t>
    <phoneticPr fontId="2"/>
  </si>
  <si>
    <t>治験製品（治験製品と同等に管理を求められる再生医療等製品や薬剤などを含む）の保管場所について算定すること。なお、保管方法が異なる治験製品がある場合には、ポイント数が高くなるよう算定すること。</t>
    <rPh sb="0" eb="2">
      <t>チケン</t>
    </rPh>
    <rPh sb="2" eb="4">
      <t>セイヒン</t>
    </rPh>
    <rPh sb="5" eb="7">
      <t>チケン</t>
    </rPh>
    <rPh sb="7" eb="9">
      <t>セイヒン</t>
    </rPh>
    <rPh sb="10" eb="12">
      <t>ドウトウ</t>
    </rPh>
    <rPh sb="13" eb="15">
      <t>カンリ</t>
    </rPh>
    <rPh sb="16" eb="17">
      <t>モト</t>
    </rPh>
    <rPh sb="21" eb="23">
      <t>サイセイ</t>
    </rPh>
    <rPh sb="23" eb="25">
      <t>イリョウ</t>
    </rPh>
    <rPh sb="25" eb="26">
      <t>トウ</t>
    </rPh>
    <rPh sb="26" eb="28">
      <t>セイヒン</t>
    </rPh>
    <rPh sb="29" eb="31">
      <t>ヤクザイ</t>
    </rPh>
    <rPh sb="34" eb="35">
      <t>フク</t>
    </rPh>
    <rPh sb="38" eb="40">
      <t>ホカン</t>
    </rPh>
    <rPh sb="40" eb="42">
      <t>バショ</t>
    </rPh>
    <rPh sb="46" eb="48">
      <t>サンテイ</t>
    </rPh>
    <rPh sb="56" eb="58">
      <t>ホカン</t>
    </rPh>
    <rPh sb="58" eb="60">
      <t>ホウホウ</t>
    </rPh>
    <rPh sb="61" eb="62">
      <t>コト</t>
    </rPh>
    <rPh sb="64" eb="66">
      <t>チケン</t>
    </rPh>
    <rPh sb="66" eb="68">
      <t>セイヒン</t>
    </rPh>
    <rPh sb="71" eb="73">
      <t>バアイ</t>
    </rPh>
    <rPh sb="80" eb="81">
      <t>スウ</t>
    </rPh>
    <rPh sb="82" eb="83">
      <t>タカ</t>
    </rPh>
    <rPh sb="88" eb="90">
      <t>サンテイ</t>
    </rPh>
    <phoneticPr fontId="2"/>
  </si>
  <si>
    <t>治験製品（又は治験製品に準じて依頼者から提供される再生医療等製品や薬剤）が「遺伝子組換え生物等の使用等の規制による生物の多様性の確保に関する法律（通称：カルタヘナ法）」の規制対象となる場合に、規制要件について算定すること。</t>
    <phoneticPr fontId="2"/>
  </si>
  <si>
    <t>治験製品（又は治験製品に準じて依頼者から提供される再生医療等製品や薬剤）の廃棄に際して、滅菌処理等が必要な場合に算定すること。</t>
    <phoneticPr fontId="2"/>
  </si>
  <si>
    <t>使用済みの治験製品（又は治験製品に準じて依頼者から提供される再生医療等製品や薬剤）の容器を回収し、病院内で保管する必要がある場合に算定すること。</t>
    <phoneticPr fontId="2"/>
  </si>
  <si>
    <t>治験製品（被験製品又は対照製品）以外に治験製品に準じた管理が必要な再生医療等製品や薬剤などが依頼者から提供される場合に、当該再生医療等製品や薬剤などの種類数をカウントし算定すること。</t>
    <phoneticPr fontId="2"/>
  </si>
  <si>
    <t>責任医師及び分担医師の合計人数を算定すること。なお、実施中に分担医師が追加され、要素Ｍの変更が必要になった場合は、適宜追加算定すること。</t>
    <phoneticPr fontId="2"/>
  </si>
  <si>
    <t>治験製品（又は治験製品に準じて依頼者から提供される再生医療等製品）の含量規格が複数ある場合に算定すること。ただし、盲検化されており外観から規格が識別できない場合には１規格とカウントする。</t>
  </si>
  <si>
    <t>治験製品の初回の搬入から最終の返却までの予定期間を算定すること。なお、治験期間が延長された場合には、延長部分について算定し、契約変更等の手続きをとること。</t>
  </si>
  <si>
    <t>出庫回数</t>
    <phoneticPr fontId="2"/>
  </si>
  <si>
    <t>保存状況</t>
    <rPh sb="0" eb="2">
      <t>ホゾン</t>
    </rPh>
    <rPh sb="2" eb="4">
      <t>ジョウキョウ</t>
    </rPh>
    <phoneticPr fontId="2"/>
  </si>
  <si>
    <t>液体窒素保冷庫</t>
    <rPh sb="0" eb="4">
      <t>エキタイチッソ</t>
    </rPh>
    <rPh sb="4" eb="7">
      <t>ホレイコ</t>
    </rPh>
    <phoneticPr fontId="2"/>
  </si>
  <si>
    <t>保管場所</t>
    <rPh sb="0" eb="2">
      <t>ホカン</t>
    </rPh>
    <rPh sb="2" eb="4">
      <t>バショ</t>
    </rPh>
    <phoneticPr fontId="2"/>
  </si>
  <si>
    <t>治験薬保管室</t>
    <rPh sb="0" eb="2">
      <t>チケン</t>
    </rPh>
    <rPh sb="2" eb="3">
      <t>ヤク</t>
    </rPh>
    <rPh sb="3" eb="5">
      <t>ホカン</t>
    </rPh>
    <rPh sb="5" eb="6">
      <t>シツ</t>
    </rPh>
    <phoneticPr fontId="2"/>
  </si>
  <si>
    <t>治験薬保管室以外</t>
    <rPh sb="0" eb="3">
      <t>チケンヤク</t>
    </rPh>
    <rPh sb="3" eb="6">
      <t>ホカンシツ</t>
    </rPh>
    <rPh sb="6" eb="8">
      <t>イガイ</t>
    </rPh>
    <phoneticPr fontId="2"/>
  </si>
  <si>
    <t>カルタヘナ法の規制要件</t>
    <rPh sb="5" eb="6">
      <t>ホウ</t>
    </rPh>
    <rPh sb="7" eb="9">
      <t>キセイ</t>
    </rPh>
    <rPh sb="9" eb="11">
      <t>ヨウケン</t>
    </rPh>
    <phoneticPr fontId="2"/>
  </si>
  <si>
    <t>第一種使用等</t>
    <phoneticPr fontId="2"/>
  </si>
  <si>
    <t>第二種使用等</t>
    <phoneticPr fontId="2"/>
  </si>
  <si>
    <t>廃棄処理</t>
    <rPh sb="0" eb="2">
      <t>ハイキ</t>
    </rPh>
    <rPh sb="2" eb="4">
      <t>ショリ</t>
    </rPh>
    <phoneticPr fontId="2"/>
  </si>
  <si>
    <t>管理が必要な
薬剤の種類</t>
    <rPh sb="0" eb="2">
      <t>カンリ</t>
    </rPh>
    <rPh sb="3" eb="5">
      <t>ヒツヨウ</t>
    </rPh>
    <rPh sb="7" eb="9">
      <t>ヤクザイ</t>
    </rPh>
    <rPh sb="10" eb="12">
      <t>シュルイ</t>
    </rPh>
    <phoneticPr fontId="2"/>
  </si>
  <si>
    <t>治験製品の規格数</t>
    <rPh sb="2" eb="4">
      <t>セイヒン</t>
    </rPh>
    <phoneticPr fontId="2"/>
  </si>
  <si>
    <t>２</t>
    <phoneticPr fontId="2"/>
  </si>
  <si>
    <t>３以上</t>
    <rPh sb="1" eb="3">
      <t>イジョウ</t>
    </rPh>
    <phoneticPr fontId="2"/>
  </si>
  <si>
    <t>治験製品管理者を対象とした講習受講（トレーニング）</t>
    <rPh sb="0" eb="2">
      <t>チケン</t>
    </rPh>
    <rPh sb="2" eb="4">
      <t>セイヒン</t>
    </rPh>
    <rPh sb="4" eb="6">
      <t>カンリ</t>
    </rPh>
    <rPh sb="6" eb="7">
      <t>シャ</t>
    </rPh>
    <rPh sb="8" eb="10">
      <t>タイショウ</t>
    </rPh>
    <rPh sb="13" eb="15">
      <t>コウシュウ</t>
    </rPh>
    <rPh sb="15" eb="17">
      <t>ジュコウ</t>
    </rPh>
    <phoneticPr fontId="2"/>
  </si>
  <si>
    <t>治験製品管理期間
（1か月単位）</t>
    <rPh sb="2" eb="4">
      <t>セイヒン</t>
    </rPh>
    <rPh sb="4" eb="6">
      <t>カンリ</t>
    </rPh>
    <rPh sb="6" eb="8">
      <t>キカン</t>
    </rPh>
    <rPh sb="12" eb="13">
      <t>ゲツ</t>
    </rPh>
    <rPh sb="13" eb="15">
      <t>タンイ</t>
    </rPh>
    <phoneticPr fontId="2"/>
  </si>
  <si>
    <t>×月数（治験製品の保存・管理)：</t>
    <rPh sb="1" eb="2">
      <t>ツキ</t>
    </rPh>
    <rPh sb="4" eb="6">
      <t>チケン</t>
    </rPh>
    <rPh sb="6" eb="8">
      <t>セイヒン</t>
    </rPh>
    <rPh sb="9" eb="11">
      <t>ホゾン</t>
    </rPh>
    <rPh sb="12" eb="14">
      <t>カンリ</t>
    </rPh>
    <phoneticPr fontId="2"/>
  </si>
  <si>
    <t>治験に必要な経費内訳書（再生医療等製品）</t>
    <rPh sb="0" eb="2">
      <t>チケン</t>
    </rPh>
    <rPh sb="3" eb="5">
      <t>ヒツヨウ</t>
    </rPh>
    <rPh sb="6" eb="8">
      <t>ケイヒ</t>
    </rPh>
    <rPh sb="8" eb="11">
      <t>ウチワケショ</t>
    </rPh>
    <rPh sb="12" eb="16">
      <t>サイセイイリョウ</t>
    </rPh>
    <rPh sb="16" eb="17">
      <t>トウ</t>
    </rPh>
    <rPh sb="17" eb="19">
      <t>セイヒン</t>
    </rPh>
    <phoneticPr fontId="5"/>
  </si>
  <si>
    <t>（３）治験製品管理経費</t>
    <rPh sb="3" eb="5">
      <t>チケン</t>
    </rPh>
    <rPh sb="5" eb="7">
      <t>セイヒン</t>
    </rPh>
    <rPh sb="7" eb="9">
      <t>カンリ</t>
    </rPh>
    <rPh sb="9" eb="11">
      <t>ケイヒ</t>
    </rPh>
    <phoneticPr fontId="2"/>
  </si>
  <si>
    <t>治験製品理経費合計ポイント数</t>
    <rPh sb="2" eb="4">
      <t>セイヒン</t>
    </rPh>
    <rPh sb="7" eb="9">
      <t>ゴウケイ</t>
    </rPh>
    <rPh sb="13" eb="14">
      <t>スウ</t>
    </rPh>
    <phoneticPr fontId="2"/>
  </si>
  <si>
    <t>治験研究経費ポイント算出表
（再生医療等製品）の合計ポイント数</t>
    <phoneticPr fontId="2"/>
  </si>
  <si>
    <t>YC書式522別紙2</t>
    <rPh sb="2" eb="4">
      <t>ショシキ</t>
    </rPh>
    <phoneticPr fontId="2"/>
  </si>
  <si>
    <t>YC書式522
間接経費　Ⅱ</t>
    <phoneticPr fontId="2"/>
  </si>
  <si>
    <t>試験期間内に併用を制限する薬剤や医療機器、再生医療等製品が規定されている場合に算定すること。</t>
    <phoneticPr fontId="2"/>
  </si>
  <si>
    <t>治験製品の投与経路について算定すること。なお、異なる投与経路の治験製品（治験製品に準じて依頼者から提供される再生医療等製品・治験製品と同等に管理を求められる再生医療等製品なども含む）を組み合わせて使用する場合には、ポイント数が高くなるよう算定すること。例えば、内用と注射を組み合わせて投与する場合には、「注射」にカウントする。</t>
    <phoneticPr fontId="2"/>
  </si>
  <si>
    <t>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t>
    <phoneticPr fontId="2"/>
  </si>
  <si>
    <t>継続して治験製品を投与する試験デザインの場合、原則として52週と見なして算定するこ
と。ただし、投与回数が固定されかつその期間が52週に満たない場合を除く。</t>
    <phoneticPr fontId="2"/>
  </si>
  <si>
    <t>選択基準及び除外基準の項目数をカウントすること。なお、試験期間の異なるタイミングにそれぞれ基準が設定されている場合には、それらの総計とすること。また、同一の試験で複数の疾患を対象とする場合などで、それぞれの対象疾患毎に基準が異なる場合には、ポイント数が高くなるように算定すること。ただし、対象疾患毎に費用算定しても構わない。</t>
    <phoneticPr fontId="2"/>
  </si>
  <si>
    <t>プロトコルに規定されるVisit回数を算定すること。なお、連続する１回の入院で複数のタイミングに検査・画像診断、診察などが規定されている場合には、可能な限り分割したVisit回数として算定すること。また、試験期間が固定されておらず長期に渡る場合には、年単位などに分割してVisit回数を算定するか、又は想定される平均的な試験期間からVisit回数を算定しても構わない。被験者ごとにVisit回数が一定にならない試験デザインの場合には、想定される平均的なVisit回数を算定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</si>
  <si>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また、1ヶ月（又は３０日間）に１回以上のVisitが規定されている場合には、「4週間に1回以上」に含めて算定すること。</t>
    <phoneticPr fontId="2"/>
  </si>
  <si>
    <t>バイタルサイン（血圧・脈拍数・呼吸数・体重など）、身体所見、診察による有効性・安全性評価などの項目数を算定すること。</t>
    <phoneticPr fontId="2"/>
  </si>
  <si>
    <t>一般的な臨床検査（採血・採尿など）及び造影剤を用いない画像診断（単純Ｘ線、CT、MRIなど）、心電図検査、超音波検査などの身体的・精神的な侵襲が無い（又は非常に少ない）検査等の項目数を算定すること。</t>
    <rPh sb="0" eb="2">
      <t>イッパン</t>
    </rPh>
    <rPh sb="2" eb="3">
      <t>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3">
      <t>シンタイ</t>
    </rPh>
    <rPh sb="63" eb="64">
      <t>テキ</t>
    </rPh>
    <rPh sb="65" eb="67">
      <t>セイシン</t>
    </rPh>
    <rPh sb="67" eb="68">
      <t>テキ</t>
    </rPh>
    <rPh sb="69" eb="71">
      <t>シンシュウ</t>
    </rPh>
    <rPh sb="72" eb="73">
      <t>ナ</t>
    </rPh>
    <rPh sb="75" eb="76">
      <t>マタ</t>
    </rPh>
    <rPh sb="77" eb="79">
      <t>ヒジョウ</t>
    </rPh>
    <rPh sb="80" eb="81">
      <t>スク</t>
    </rPh>
    <rPh sb="84" eb="86">
      <t>ケンサ</t>
    </rPh>
    <rPh sb="86" eb="87">
      <t>トウ</t>
    </rPh>
    <rPh sb="88" eb="90">
      <t>コウモク</t>
    </rPh>
    <rPh sb="90" eb="91">
      <t>スウ</t>
    </rPh>
    <rPh sb="92" eb="94">
      <t>サンテイ</t>
    </rPh>
    <phoneticPr fontId="2"/>
  </si>
  <si>
    <t>造影剤を用いる画像診断（単純Ｘ線、CT、MRI、超音波検査など）及び内視鏡検査、神経伝達速度検査などの身体的・精神的な侵襲が伴う検査等のうち、検体採取を必要としない項目数を算定すること。</t>
    <rPh sb="0" eb="3">
      <t>ゾウエイザイ</t>
    </rPh>
    <rPh sb="4" eb="5">
      <t>モチ</t>
    </rPh>
    <rPh sb="7" eb="9">
      <t>ガゾウ</t>
    </rPh>
    <rPh sb="9" eb="11">
      <t>シンダン</t>
    </rPh>
    <rPh sb="12" eb="14">
      <t>タンジュン</t>
    </rPh>
    <rPh sb="15" eb="16">
      <t>セン</t>
    </rPh>
    <rPh sb="24" eb="27">
      <t>チョウオンパ</t>
    </rPh>
    <rPh sb="27" eb="29">
      <t>ケンサ</t>
    </rPh>
    <rPh sb="32" eb="33">
      <t>オヨ</t>
    </rPh>
    <rPh sb="34" eb="37">
      <t>ナイシキョウ</t>
    </rPh>
    <rPh sb="37" eb="39">
      <t>ケンサ</t>
    </rPh>
    <rPh sb="40" eb="42">
      <t>シンケイ</t>
    </rPh>
    <rPh sb="42" eb="44">
      <t>デンタツ</t>
    </rPh>
    <rPh sb="44" eb="46">
      <t>ソクド</t>
    </rPh>
    <rPh sb="46" eb="48">
      <t>ケンサ</t>
    </rPh>
    <rPh sb="51" eb="53">
      <t>シンタイ</t>
    </rPh>
    <rPh sb="53" eb="54">
      <t>テキ</t>
    </rPh>
    <rPh sb="55" eb="57">
      <t>セイシン</t>
    </rPh>
    <rPh sb="57" eb="58">
      <t>テキ</t>
    </rPh>
    <rPh sb="59" eb="61">
      <t>シンシュウ</t>
    </rPh>
    <rPh sb="62" eb="63">
      <t>トモナ</t>
    </rPh>
    <rPh sb="64" eb="66">
      <t>ケンサ</t>
    </rPh>
    <rPh sb="66" eb="67">
      <t>トウ</t>
    </rPh>
    <rPh sb="71" eb="73">
      <t>ケンタイ</t>
    </rPh>
    <rPh sb="73" eb="75">
      <t>サイシュ</t>
    </rPh>
    <rPh sb="76" eb="78">
      <t>ヒツヨウ</t>
    </rPh>
    <rPh sb="82" eb="84">
      <t>コウモク</t>
    </rPh>
    <rPh sb="84" eb="85">
      <t>スウ</t>
    </rPh>
    <rPh sb="86" eb="88">
      <t>サンテイ</t>
    </rPh>
    <phoneticPr fontId="2"/>
  </si>
  <si>
    <t>手術及び骨髄穿刺、動脈血採取などの侵襲性が高い方法による検体採取が規定されている場合には、その回数を算定すること。</t>
    <phoneticPr fontId="2"/>
  </si>
  <si>
    <t>治験製品（又は対照製品）が「遺伝子組換え生物等の使用等の規制による生物の多様性の確保に関する法律（通称：カルタヘナ法）」の規制対象となる場合に、規制要件について算定すること。</t>
    <phoneticPr fontId="2"/>
  </si>
  <si>
    <t>CT画像やMRI画像などを依頼者に提供する場合に算定すること。</t>
    <phoneticPr fontId="2"/>
  </si>
  <si>
    <t>試験への参加同意とは別に、被験者から同意取得する付随研究（検体バンキングなど）を予定している場合に算定すること。</t>
    <phoneticPr fontId="2"/>
  </si>
  <si>
    <t>治験責任医師又は治験分担医師が、試験参加に際してGCP又はEDC、IXRS、評価方法等のトレーニングなどを要する場合に算定すること。</t>
    <phoneticPr fontId="2"/>
  </si>
  <si>
    <t xml:space="preserve">拡大治験の基となる治験が附属病院またはセンター病院で実施されている場合は、本要素のポイントを算定しない。
</t>
    <phoneticPr fontId="2"/>
  </si>
  <si>
    <t>治験のケース</t>
    <rPh sb="0" eb="2">
      <t>チケン</t>
    </rPh>
    <phoneticPr fontId="2"/>
  </si>
  <si>
    <t>拡大治験のケース</t>
    <rPh sb="0" eb="2">
      <t>カクダイ</t>
    </rPh>
    <rPh sb="2" eb="4">
      <t>チケン</t>
    </rPh>
    <phoneticPr fontId="2"/>
  </si>
  <si>
    <t>本要素のポイントを算定しない。</t>
    <phoneticPr fontId="2"/>
  </si>
  <si>
    <t>対照となる治療群に対照製品（プラセボを含む）使用する場合に算定すること。</t>
    <phoneticPr fontId="2"/>
  </si>
  <si>
    <t>拡大治験のケース</t>
    <rPh sb="0" eb="4">
      <t>カクダイチケン</t>
    </rPh>
    <phoneticPr fontId="2"/>
  </si>
  <si>
    <t xml:space="preserve">　　 </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</si>
  <si>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</si>
  <si>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</si>
  <si>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資料の保存にかかる経費</t>
    <rPh sb="3" eb="5">
      <t>ホゾン</t>
    </rPh>
    <phoneticPr fontId="2"/>
  </si>
  <si>
    <r>
      <t>目標とする被験者数</t>
    </r>
    <r>
      <rPr>
        <sz val="6"/>
        <rFont val="ＭＳ Ｐゴシック"/>
        <family val="3"/>
        <charset val="128"/>
        <scheme val="minor"/>
      </rPr>
      <t>（予定症例数）</t>
    </r>
    <rPh sb="0" eb="2">
      <t>モクヒョウ</t>
    </rPh>
    <rPh sb="5" eb="8">
      <t>ヒケンシャ</t>
    </rPh>
    <rPh sb="8" eb="9">
      <t>スウ</t>
    </rPh>
    <rPh sb="10" eb="15">
      <t>ヨテイショウレイスウ</t>
    </rPh>
    <phoneticPr fontId="2"/>
  </si>
  <si>
    <t>初回審査予定日：</t>
    <rPh sb="0" eb="2">
      <t>ショカイ</t>
    </rPh>
    <rPh sb="2" eb="4">
      <t>シンサ</t>
    </rPh>
    <rPh sb="4" eb="6">
      <t>ヨテイ</t>
    </rPh>
    <rPh sb="6" eb="7">
      <t>ビ</t>
    </rPh>
    <phoneticPr fontId="2"/>
  </si>
  <si>
    <t>予定症例数×</t>
    <rPh sb="0" eb="5">
      <t>ヨテイショウレイスウ</t>
    </rPh>
    <phoneticPr fontId="2"/>
  </si>
  <si>
    <t>初回の審査に必要な費用</t>
    <rPh sb="0" eb="2">
      <t>ショカイ</t>
    </rPh>
    <rPh sb="3" eb="5">
      <t>シンサ</t>
    </rPh>
    <phoneticPr fontId="2"/>
  </si>
  <si>
    <t>外部IRBに審査を委託</t>
    <rPh sb="0" eb="2">
      <t>ガイブ</t>
    </rPh>
    <rPh sb="6" eb="8">
      <t>シンサ</t>
    </rPh>
    <rPh sb="9" eb="11">
      <t>イタク</t>
    </rPh>
    <phoneticPr fontId="2"/>
  </si>
  <si>
    <t>×予定症例数</t>
    <rPh sb="1" eb="6">
      <t>ヨテイショウレイスウ</t>
    </rPh>
    <phoneticPr fontId="2"/>
  </si>
  <si>
    <t>研究経費　Ⅰ</t>
    <phoneticPr fontId="2"/>
  </si>
  <si>
    <t>小計（１）</t>
    <rPh sb="0" eb="2">
      <t>ショウケイ</t>
    </rPh>
    <phoneticPr fontId="2"/>
  </si>
  <si>
    <t>直接経費　Ⅰ</t>
    <phoneticPr fontId="2"/>
  </si>
  <si>
    <t>小計（２）＋（３）＋（４）</t>
    <rPh sb="0" eb="2">
      <t>ショウケイ</t>
    </rPh>
    <phoneticPr fontId="2"/>
  </si>
  <si>
    <t>間接経費　Ⅰ</t>
    <phoneticPr fontId="2"/>
  </si>
  <si>
    <t>｛（１）＋（２）＋（３）＋（４）｝×３０％</t>
    <phoneticPr fontId="2"/>
  </si>
  <si>
    <t>（ア）契約単位合計</t>
    <rPh sb="3" eb="5">
      <t>ケイヤク</t>
    </rPh>
    <rPh sb="5" eb="7">
      <t>タンイ</t>
    </rPh>
    <rPh sb="7" eb="9">
      <t>ゴウケイ</t>
    </rPh>
    <phoneticPr fontId="2"/>
  </si>
  <si>
    <t>研究経費Ⅰ＋直接経費Ⅰ＋間接経費Ⅰ</t>
    <phoneticPr fontId="2"/>
  </si>
  <si>
    <t>（５）治験運営費用</t>
    <rPh sb="3" eb="5">
      <t>チケン</t>
    </rPh>
    <rPh sb="5" eb="7">
      <t>ウンエイ</t>
    </rPh>
    <rPh sb="7" eb="9">
      <t>ヒヨウ</t>
    </rPh>
    <phoneticPr fontId="2"/>
  </si>
  <si>
    <t>初回IRB審査時～治験終了報告まで（1ヶ月当り）</t>
    <phoneticPr fontId="2"/>
  </si>
  <si>
    <t>SMO委託あり</t>
    <phoneticPr fontId="2"/>
  </si>
  <si>
    <t>（６）継続審査費用</t>
    <rPh sb="3" eb="7">
      <t>ケイゾクシンサ</t>
    </rPh>
    <rPh sb="7" eb="9">
      <t>ヒヨウ</t>
    </rPh>
    <phoneticPr fontId="2"/>
  </si>
  <si>
    <t>治験実施状況報告書に係る継続審査実施時に算定（1年当り）</t>
    <rPh sb="19" eb="20">
      <t>アタ</t>
    </rPh>
    <phoneticPr fontId="2"/>
  </si>
  <si>
    <t>（５）の小計</t>
    <rPh sb="4" eb="6">
      <t>ショウケイ</t>
    </rPh>
    <phoneticPr fontId="2"/>
  </si>
  <si>
    <t>（５）×試験期間</t>
    <rPh sb="4" eb="6">
      <t>シケン</t>
    </rPh>
    <rPh sb="6" eb="8">
      <t>キカン</t>
    </rPh>
    <phoneticPr fontId="2"/>
  </si>
  <si>
    <t>（６）の小計</t>
    <phoneticPr fontId="2"/>
  </si>
  <si>
    <t>（６）×試験期間</t>
    <rPh sb="4" eb="6">
      <t>シケン</t>
    </rPh>
    <rPh sb="6" eb="8">
      <t>キカン</t>
    </rPh>
    <phoneticPr fontId="2"/>
  </si>
  <si>
    <t>（５）の小計＋（６）の小計</t>
    <rPh sb="4" eb="6">
      <t>ショウケイ</t>
    </rPh>
    <rPh sb="11" eb="13">
      <t>ショウケイ</t>
    </rPh>
    <phoneticPr fontId="2"/>
  </si>
  <si>
    <t>（７）治験研究経費</t>
    <rPh sb="3" eb="5">
      <t>チケン</t>
    </rPh>
    <rPh sb="5" eb="7">
      <t>ケンキュウ</t>
    </rPh>
    <rPh sb="7" eb="9">
      <t>ケイヒ</t>
    </rPh>
    <phoneticPr fontId="2"/>
  </si>
  <si>
    <t>（８）CRC人件費</t>
    <rPh sb="6" eb="9">
      <t>ジンケンヒ</t>
    </rPh>
    <phoneticPr fontId="2"/>
  </si>
  <si>
    <t>（９）CRC人件費
　（SMO・CRCの管理監督）</t>
    <rPh sb="6" eb="9">
      <t>ジンケンヒ</t>
    </rPh>
    <rPh sb="20" eb="22">
      <t>カンリ</t>
    </rPh>
    <rPh sb="22" eb="24">
      <t>カントク</t>
    </rPh>
    <phoneticPr fontId="2"/>
  </si>
  <si>
    <t>（１０）管理費</t>
    <rPh sb="4" eb="7">
      <t>カンリヒ</t>
    </rPh>
    <phoneticPr fontId="2"/>
  </si>
  <si>
    <t>SMO委託あり</t>
    <rPh sb="3" eb="5">
      <t>イタク</t>
    </rPh>
    <phoneticPr fontId="2"/>
  </si>
  <si>
    <t>｛（７）＋（８）＋（９）｝×１０％</t>
    <phoneticPr fontId="2"/>
  </si>
  <si>
    <t>研究経費　Ⅱ</t>
    <phoneticPr fontId="2"/>
  </si>
  <si>
    <t>小計（７）</t>
    <rPh sb="0" eb="2">
      <t>ショウケイ</t>
    </rPh>
    <phoneticPr fontId="2"/>
  </si>
  <si>
    <t>直接経費　Ⅱ</t>
    <rPh sb="0" eb="2">
      <t>チョクセツ</t>
    </rPh>
    <rPh sb="2" eb="4">
      <t>ケイヒ</t>
    </rPh>
    <phoneticPr fontId="2"/>
  </si>
  <si>
    <t>小計（８）＋（９）＋（１０）</t>
    <phoneticPr fontId="2"/>
  </si>
  <si>
    <t>間接経費　Ⅱ</t>
    <rPh sb="0" eb="2">
      <t>カンセツ</t>
    </rPh>
    <rPh sb="2" eb="4">
      <t>ケイヒ</t>
    </rPh>
    <phoneticPr fontId="2"/>
  </si>
  <si>
    <t>｛（７）＋（８）＋（９）＋（１０）｝×３０％</t>
    <phoneticPr fontId="2"/>
  </si>
  <si>
    <t>（ウ）症例単位合計</t>
    <rPh sb="3" eb="5">
      <t>ショウレイ</t>
    </rPh>
    <rPh sb="5" eb="7">
      <t>タンイ</t>
    </rPh>
    <rPh sb="7" eb="9">
      <t>ゴウケイ</t>
    </rPh>
    <phoneticPr fontId="2"/>
  </si>
  <si>
    <t>研究経費Ⅱ＋直接経費Ⅱ＋間接経費Ⅱ</t>
    <phoneticPr fontId="2"/>
  </si>
  <si>
    <t>・別紙１</t>
    <rPh sb="1" eb="3">
      <t>ベッシ</t>
    </rPh>
    <phoneticPr fontId="2"/>
  </si>
  <si>
    <t>２　運営時納入金額（治験の運営等にかかる経費）</t>
    <rPh sb="2" eb="4">
      <t>ウンエイ</t>
    </rPh>
    <rPh sb="4" eb="5">
      <t>ジ</t>
    </rPh>
    <rPh sb="5" eb="7">
      <t>ノウニュウ</t>
    </rPh>
    <rPh sb="7" eb="9">
      <t>キンガク</t>
    </rPh>
    <rPh sb="10" eb="12">
      <t>チケン</t>
    </rPh>
    <rPh sb="13" eb="15">
      <t>ウンエイ</t>
    </rPh>
    <rPh sb="15" eb="16">
      <t>トウ</t>
    </rPh>
    <rPh sb="20" eb="22">
      <t>ケイヒ</t>
    </rPh>
    <phoneticPr fontId="2"/>
  </si>
  <si>
    <t>治験運営費用（１ヶ月当り）</t>
    <rPh sb="10" eb="11">
      <t>アタ</t>
    </rPh>
    <phoneticPr fontId="2"/>
  </si>
  <si>
    <t>※ 1年に1回を超えて治験実施状況報告書が提出された場合は、同額を追加算定する</t>
    <phoneticPr fontId="2"/>
  </si>
  <si>
    <t>（イ）運営単位合計（試験期間全体）</t>
    <phoneticPr fontId="2"/>
  </si>
  <si>
    <t>（ウ）症例単位合計（症例実施にかかる経費／１症例当り）</t>
    <rPh sb="12" eb="14">
      <t>ジッシ</t>
    </rPh>
    <rPh sb="24" eb="25">
      <t>アタ</t>
    </rPh>
    <phoneticPr fontId="2"/>
  </si>
  <si>
    <t>被験者負担軽減費（治験参加に伴う被験者の負担を軽減する為の費用／１来院あたり）</t>
    <phoneticPr fontId="2"/>
  </si>
  <si>
    <t>・スライド枚数</t>
    <rPh sb="5" eb="7">
      <t>マイスウ</t>
    </rPh>
    <phoneticPr fontId="2"/>
  </si>
  <si>
    <t>枚</t>
    <rPh sb="0" eb="1">
      <t>マイ</t>
    </rPh>
    <phoneticPr fontId="2"/>
  </si>
  <si>
    <t>合計</t>
    <rPh sb="0" eb="2">
      <t>ゴウケイ</t>
    </rPh>
    <phoneticPr fontId="2"/>
  </si>
  <si>
    <t>生存調査（1調査当り）</t>
    <rPh sb="8" eb="9">
      <t>アタ</t>
    </rPh>
    <phoneticPr fontId="2"/>
  </si>
  <si>
    <t>脱落症例経費（症例脱落にかかる経費／１症例当り）</t>
    <rPh sb="21" eb="22">
      <t>アタ</t>
    </rPh>
    <phoneticPr fontId="2"/>
  </si>
  <si>
    <t>監査対応費（依頼者の監査にかかる経費／１日当り）</t>
    <rPh sb="21" eb="22">
      <t>アタ</t>
    </rPh>
    <phoneticPr fontId="2"/>
  </si>
  <si>
    <t>ＧＣＰ適合性調査対応費（規制当局の査察にかかる経費／１日当り）</t>
    <rPh sb="12" eb="14">
      <t>キセイ</t>
    </rPh>
    <rPh sb="28" eb="29">
      <t>アタ</t>
    </rPh>
    <phoneticPr fontId="2"/>
  </si>
  <si>
    <t>終了報告書提出後対応費（モニタリング又は監査にかかる経費／１日当り）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1">
      <t>ニチ</t>
    </rPh>
    <rPh sb="31" eb="32">
      <t>アタ</t>
    </rPh>
    <phoneticPr fontId="2"/>
  </si>
  <si>
    <t>保存期間：</t>
    <rPh sb="0" eb="4">
      <t>ホゾンキカン</t>
    </rPh>
    <phoneticPr fontId="2"/>
  </si>
  <si>
    <t>・保存手数料（１試験当り）</t>
    <rPh sb="1" eb="3">
      <t>ホゾン</t>
    </rPh>
    <rPh sb="8" eb="10">
      <t>シケン</t>
    </rPh>
    <rPh sb="10" eb="11">
      <t>アタ</t>
    </rPh>
    <phoneticPr fontId="2"/>
  </si>
  <si>
    <t>・保存費用（１年当り）</t>
    <rPh sb="1" eb="3">
      <t>ホゾン</t>
    </rPh>
    <rPh sb="7" eb="8">
      <t>ネン</t>
    </rPh>
    <rPh sb="8" eb="9">
      <t>アタ</t>
    </rPh>
    <phoneticPr fontId="2"/>
  </si>
  <si>
    <t>研究経費単価
（税抜き）</t>
    <rPh sb="0" eb="2">
      <t>ケンキュウ</t>
    </rPh>
    <rPh sb="2" eb="4">
      <t>ケイヒ</t>
    </rPh>
    <rPh sb="4" eb="6">
      <t>タンカ</t>
    </rPh>
    <rPh sb="8" eb="9">
      <t>ゼイ</t>
    </rPh>
    <rPh sb="9" eb="10">
      <t>ヌ</t>
    </rPh>
    <phoneticPr fontId="2"/>
  </si>
  <si>
    <t>CRC人件費単価
（税抜き）</t>
    <rPh sb="3" eb="6">
      <t>ジンケンヒ</t>
    </rPh>
    <rPh sb="6" eb="8">
      <t>タンカ</t>
    </rPh>
    <rPh sb="10" eb="11">
      <t>ゼイ</t>
    </rPh>
    <rPh sb="11" eb="12">
      <t>ヌ</t>
    </rPh>
    <phoneticPr fontId="2"/>
  </si>
  <si>
    <t>消費税率</t>
    <rPh sb="0" eb="3">
      <t>ショウヒゼイ</t>
    </rPh>
    <rPh sb="3" eb="4">
      <t>リツ</t>
    </rPh>
    <phoneticPr fontId="2"/>
  </si>
  <si>
    <t>①研究経費</t>
    <rPh sb="1" eb="3">
      <t>ケンキュウ</t>
    </rPh>
    <rPh sb="3" eb="5">
      <t>ケイヒ</t>
    </rPh>
    <phoneticPr fontId="2"/>
  </si>
  <si>
    <t>②CRC人件費</t>
    <rPh sb="4" eb="7">
      <t>ジンケンヒ</t>
    </rPh>
    <phoneticPr fontId="2"/>
  </si>
  <si>
    <t>③中央4部門　間接費</t>
    <rPh sb="1" eb="2">
      <t>チュウ</t>
    </rPh>
    <rPh sb="2" eb="3">
      <t>オウ</t>
    </rPh>
    <rPh sb="4" eb="5">
      <t>ブ</t>
    </rPh>
    <rPh sb="5" eb="6">
      <t>モン</t>
    </rPh>
    <rPh sb="7" eb="10">
      <t>カンセツヒ</t>
    </rPh>
    <phoneticPr fontId="2"/>
  </si>
  <si>
    <t>④管理間接費</t>
    <phoneticPr fontId="2"/>
  </si>
  <si>
    <t>②+④</t>
    <phoneticPr fontId="2"/>
  </si>
  <si>
    <t>税込合計</t>
    <rPh sb="0" eb="2">
      <t>ゼイコ</t>
    </rPh>
    <rPh sb="2" eb="4">
      <t>ゴウケイ</t>
    </rPh>
    <phoneticPr fontId="2"/>
  </si>
  <si>
    <t>1部門分</t>
    <rPh sb="1" eb="4">
      <t>ブモンブン</t>
    </rPh>
    <phoneticPr fontId="2"/>
  </si>
  <si>
    <t>4部門合計</t>
    <rPh sb="1" eb="3">
      <t>ブモン</t>
    </rPh>
    <rPh sb="3" eb="5">
      <t>ゴウケイ</t>
    </rPh>
    <phoneticPr fontId="2"/>
  </si>
  <si>
    <t>例）生理食塩液PL「フソー」50mL</t>
    <rPh sb="0" eb="1">
      <t>レイ</t>
    </rPh>
    <phoneticPr fontId="2"/>
  </si>
  <si>
    <t>4987197638154</t>
    <phoneticPr fontId="2"/>
  </si>
  <si>
    <t>扶桑薬品工業(株)</t>
    <phoneticPr fontId="2"/>
  </si>
  <si>
    <t>10本／箱</t>
    <phoneticPr fontId="2"/>
  </si>
  <si>
    <t>YC書式522
（７）治験研究経費</t>
    <rPh sb="11" eb="17">
      <t>チケンケンキュウケイヒ</t>
    </rPh>
    <phoneticPr fontId="2"/>
  </si>
  <si>
    <t>YC書式522
（８）または（９）CRC人件費</t>
    <phoneticPr fontId="2"/>
  </si>
  <si>
    <t>YC書式522
（１０）管理費</t>
    <phoneticPr fontId="2"/>
  </si>
  <si>
    <t>例）VISIT 1　達成時</t>
    <rPh sb="0" eb="1">
      <t>レイ</t>
    </rPh>
    <rPh sb="10" eb="12">
      <t>タッセイ</t>
    </rPh>
    <rPh sb="12" eb="13">
      <t>ジ</t>
    </rPh>
    <phoneticPr fontId="2"/>
  </si>
  <si>
    <t>研究経費
（税込）</t>
    <rPh sb="0" eb="2">
      <t>ケンキュウ</t>
    </rPh>
    <rPh sb="2" eb="4">
      <t>ケイヒ</t>
    </rPh>
    <rPh sb="6" eb="8">
      <t>ゼイコ</t>
    </rPh>
    <phoneticPr fontId="2"/>
  </si>
  <si>
    <t>CRC人件費
（税込）</t>
    <rPh sb="8" eb="10">
      <t>ゼイコ</t>
    </rPh>
    <phoneticPr fontId="2"/>
  </si>
  <si>
    <t>管理間接費（税込）</t>
    <rPh sb="6" eb="8">
      <t>ゼイコ</t>
    </rPh>
    <phoneticPr fontId="2"/>
  </si>
  <si>
    <t>（10）+間接経費　Ⅱ</t>
    <phoneticPr fontId="2"/>
  </si>
  <si>
    <t>税込合計</t>
    <rPh sb="0" eb="2">
      <t>ゼイコミ</t>
    </rPh>
    <rPh sb="2" eb="4">
      <t>ゴウケイ</t>
    </rPh>
    <phoneticPr fontId="2"/>
  </si>
  <si>
    <t>研究費差額</t>
    <rPh sb="0" eb="3">
      <t>ケンキュウヒ</t>
    </rPh>
    <rPh sb="3" eb="5">
      <t>サガク</t>
    </rPh>
    <phoneticPr fontId="2"/>
  </si>
  <si>
    <t>誤入力を避けるためシート単位で保護しています。</t>
    <rPh sb="0" eb="1">
      <t>ゴ</t>
    </rPh>
    <rPh sb="1" eb="3">
      <t>ニュウリョク</t>
    </rPh>
    <rPh sb="4" eb="5">
      <t>サ</t>
    </rPh>
    <rPh sb="15" eb="17">
      <t>ホゴ</t>
    </rPh>
    <phoneticPr fontId="2"/>
  </si>
  <si>
    <t>YC書式522別紙1</t>
    <rPh sb="2" eb="4">
      <t>ショシキ</t>
    </rPh>
    <phoneticPr fontId="2"/>
  </si>
  <si>
    <t>○</t>
  </si>
  <si>
    <r>
      <t>継続審査費用（１年当り）</t>
    </r>
    <r>
      <rPr>
        <vertAlign val="superscript"/>
        <sz val="11"/>
        <rFont val="ＭＳ Ｐゴシック"/>
        <family val="3"/>
        <charset val="128"/>
        <scheme val="minor"/>
      </rPr>
      <t>※</t>
    </r>
    <rPh sb="0" eb="4">
      <t>ケイゾクシンサ</t>
    </rPh>
    <rPh sb="8" eb="9">
      <t>ネン</t>
    </rPh>
    <rPh sb="9" eb="10">
      <t>アタ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</si>
</sst>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1" formatCode="_ * #,##0_ ;_ * \-#,##0_ ;_ * &quot;-&quot;_ ;_ @_ "/>
    <numFmt numFmtId="176" formatCode="&quot;¥&quot;#,###"/>
    <numFmt numFmtId="177" formatCode="0.0%"/>
    <numFmt numFmtId="178" formatCode="#,##0_);[Red]\(#,##0\)"/>
    <numFmt numFmtId="179" formatCode="0.00_);[Red]\(0.00\)"/>
    <numFmt numFmtId="180" formatCode="&quot;¥&quot;#,##0_);[Red]\(&quot;¥&quot;#,##0\)"/>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4"/>
      <name val="ＭＳ Ｐゴシック"/>
      <family val="3"/>
      <charset val="128"/>
    </font>
    <font>
      <sz val="6"/>
      <name val="ＭＳ Ｐゴシック"/>
      <family val="3"/>
      <charset val="128"/>
      <scheme val="minor"/>
    </font>
    <font>
      <vertAlign val="superscrip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1"/>
      <color theme="0" tint="-0.34998626667073579"/>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DAEEF3"/>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ck">
        <color indexed="64"/>
      </right>
      <top/>
      <bottom style="thick">
        <color indexed="64"/>
      </bottom>
      <diagonal/>
    </border>
    <border>
      <left/>
      <right style="thick">
        <color indexed="64"/>
      </right>
      <top style="thick">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587">
    <xf numFmtId="0" fontId="0" fillId="0" borderId="0" xfId="0">
      <alignmen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14" fillId="5" borderId="3" xfId="0" applyFont="1" applyFill="1" applyBorder="1" applyAlignment="1">
      <alignment vertical="center" wrapText="1"/>
    </xf>
    <xf numFmtId="0" fontId="14" fillId="4" borderId="3" xfId="0" applyFont="1" applyFill="1" applyBorder="1" applyAlignment="1">
      <alignment vertical="center" wrapText="1"/>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6" xfId="0" applyFont="1" applyFill="1" applyBorder="1" applyProtection="1">
      <alignment vertical="center"/>
      <protection locked="0"/>
    </xf>
    <xf numFmtId="0" fontId="9" fillId="5" borderId="13" xfId="0" applyFont="1" applyFill="1" applyBorder="1" applyProtection="1">
      <alignment vertical="center"/>
      <protection locked="0"/>
    </xf>
    <xf numFmtId="0" fontId="9" fillId="5" borderId="9" xfId="0" applyFont="1" applyFill="1" applyBorder="1" applyProtection="1">
      <alignment vertical="center"/>
      <protection locked="0"/>
    </xf>
    <xf numFmtId="0" fontId="3" fillId="5" borderId="15"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protection locked="0"/>
    </xf>
    <xf numFmtId="0" fontId="3" fillId="5" borderId="2" xfId="2" applyFill="1" applyBorder="1" applyAlignment="1" applyProtection="1">
      <alignment vertical="center"/>
      <protection locked="0"/>
    </xf>
    <xf numFmtId="0" fontId="9" fillId="5" borderId="0" xfId="0" applyFont="1" applyFill="1" applyAlignment="1" applyProtection="1">
      <alignment horizontal="center" vertical="center"/>
      <protection locked="0"/>
    </xf>
    <xf numFmtId="38" fontId="11" fillId="0" borderId="1" xfId="1" applyFont="1" applyFill="1" applyBorder="1" applyAlignment="1" applyProtection="1">
      <alignment vertical="center"/>
    </xf>
    <xf numFmtId="38" fontId="16" fillId="0" borderId="0" xfId="1" applyFont="1" applyFill="1" applyBorder="1" applyAlignment="1" applyProtection="1">
      <alignment horizontal="center" vertical="center"/>
    </xf>
    <xf numFmtId="38" fontId="11" fillId="0" borderId="0" xfId="1" applyFont="1" applyFill="1" applyBorder="1" applyAlignment="1" applyProtection="1">
      <alignment vertical="center"/>
    </xf>
    <xf numFmtId="38" fontId="9" fillId="0" borderId="0" xfId="1" applyFont="1" applyFill="1" applyBorder="1" applyAlignment="1" applyProtection="1">
      <alignment horizontal="center" vertical="center"/>
    </xf>
    <xf numFmtId="38" fontId="9" fillId="0" borderId="0" xfId="1" applyFont="1" applyFill="1" applyBorder="1" applyAlignment="1" applyProtection="1">
      <alignment horizontal="left" vertical="center"/>
    </xf>
    <xf numFmtId="38" fontId="18" fillId="0" borderId="0" xfId="1" applyFont="1" applyFill="1" applyBorder="1" applyAlignment="1" applyProtection="1">
      <alignment horizontal="right" vertical="center"/>
    </xf>
    <xf numFmtId="178" fontId="9" fillId="0" borderId="0" xfId="1" applyNumberFormat="1" applyFont="1" applyFill="1" applyBorder="1" applyAlignment="1" applyProtection="1">
      <alignment horizontal="right" vertical="center"/>
    </xf>
    <xf numFmtId="38" fontId="9" fillId="0" borderId="0" xfId="1" applyFont="1" applyFill="1" applyBorder="1" applyAlignment="1" applyProtection="1">
      <alignment horizontal="right" vertical="center"/>
    </xf>
    <xf numFmtId="38" fontId="9" fillId="0" borderId="0" xfId="1" applyFont="1" applyBorder="1" applyAlignment="1" applyProtection="1">
      <alignment horizontal="center" vertical="center"/>
    </xf>
    <xf numFmtId="38" fontId="9" fillId="0" borderId="34" xfId="1" applyFont="1" applyFill="1" applyBorder="1" applyAlignment="1" applyProtection="1">
      <alignment horizontal="right" vertical="center"/>
    </xf>
    <xf numFmtId="38" fontId="9" fillId="0" borderId="3" xfId="1" applyFont="1" applyFill="1" applyBorder="1" applyAlignment="1" applyProtection="1">
      <alignment horizontal="left" vertical="center"/>
    </xf>
    <xf numFmtId="41" fontId="9" fillId="0" borderId="37" xfId="1" applyNumberFormat="1" applyFont="1" applyBorder="1" applyAlignment="1" applyProtection="1">
      <alignment horizontal="right" vertical="center"/>
    </xf>
    <xf numFmtId="41" fontId="9" fillId="0" borderId="4" xfId="1" applyNumberFormat="1" applyFont="1" applyBorder="1" applyAlignment="1" applyProtection="1">
      <alignment horizontal="right" vertical="center"/>
    </xf>
    <xf numFmtId="41" fontId="9" fillId="0" borderId="5" xfId="1" applyNumberFormat="1" applyFont="1" applyBorder="1" applyAlignment="1" applyProtection="1">
      <alignment horizontal="right" vertical="center"/>
    </xf>
    <xf numFmtId="38" fontId="9" fillId="0" borderId="34" xfId="1" applyFont="1" applyBorder="1" applyAlignment="1" applyProtection="1">
      <alignment horizontal="center" vertical="center"/>
    </xf>
    <xf numFmtId="6" fontId="9" fillId="0" borderId="0" xfId="3" applyFont="1" applyFill="1" applyBorder="1" applyAlignment="1" applyProtection="1">
      <alignment vertical="center"/>
    </xf>
    <xf numFmtId="6" fontId="9" fillId="0" borderId="0" xfId="3" applyFont="1" applyFill="1" applyBorder="1" applyAlignment="1" applyProtection="1">
      <alignment horizontal="center" vertical="center"/>
    </xf>
    <xf numFmtId="176" fontId="9" fillId="0" borderId="0" xfId="3" applyNumberFormat="1" applyFont="1" applyFill="1" applyBorder="1" applyAlignment="1" applyProtection="1">
      <alignment horizontal="center" vertical="center"/>
    </xf>
    <xf numFmtId="0" fontId="9" fillId="0" borderId="3" xfId="3" applyNumberFormat="1" applyFont="1" applyFill="1" applyBorder="1" applyAlignment="1" applyProtection="1">
      <alignment horizontal="center" vertical="center"/>
    </xf>
    <xf numFmtId="41" fontId="9" fillId="0" borderId="3" xfId="3" applyNumberFormat="1" applyFont="1" applyFill="1" applyBorder="1" applyAlignment="1" applyProtection="1">
      <alignment horizontal="right" vertical="center"/>
    </xf>
    <xf numFmtId="41" fontId="9" fillId="0" borderId="3" xfId="3" applyNumberFormat="1" applyFont="1" applyFill="1" applyBorder="1" applyAlignment="1" applyProtection="1">
      <alignment horizontal="center" vertical="center"/>
    </xf>
    <xf numFmtId="41" fontId="9" fillId="0" borderId="37" xfId="3" applyNumberFormat="1" applyFont="1" applyFill="1" applyBorder="1" applyAlignment="1" applyProtection="1">
      <alignment horizontal="center" vertical="center"/>
    </xf>
    <xf numFmtId="41" fontId="9" fillId="0" borderId="4" xfId="3" applyNumberFormat="1" applyFont="1" applyFill="1" applyBorder="1" applyAlignment="1" applyProtection="1">
      <alignment horizontal="center" vertical="center"/>
    </xf>
    <xf numFmtId="41" fontId="9" fillId="0" borderId="5" xfId="3" applyNumberFormat="1" applyFont="1" applyFill="1" applyBorder="1" applyAlignment="1" applyProtection="1">
      <alignment horizontal="right" vertical="center"/>
    </xf>
    <xf numFmtId="176" fontId="9" fillId="0" borderId="0" xfId="3" applyNumberFormat="1" applyFont="1" applyFill="1" applyBorder="1" applyAlignment="1" applyProtection="1">
      <alignment horizontal="right" vertical="center"/>
    </xf>
    <xf numFmtId="176" fontId="9" fillId="0" borderId="0" xfId="3" applyNumberFormat="1" applyFont="1" applyFill="1" applyBorder="1" applyAlignment="1" applyProtection="1">
      <alignment vertical="center"/>
    </xf>
    <xf numFmtId="176" fontId="26" fillId="0" borderId="0" xfId="3" applyNumberFormat="1" applyFont="1" applyFill="1" applyBorder="1" applyAlignment="1" applyProtection="1">
      <alignment horizontal="right" vertical="center"/>
    </xf>
    <xf numFmtId="176" fontId="26" fillId="0" borderId="0" xfId="3" applyNumberFormat="1" applyFont="1" applyFill="1" applyBorder="1" applyAlignment="1" applyProtection="1">
      <alignment vertical="center"/>
    </xf>
    <xf numFmtId="176" fontId="24" fillId="0" borderId="4" xfId="3" applyNumberFormat="1" applyFont="1" applyFill="1" applyBorder="1" applyAlignment="1" applyProtection="1">
      <alignment horizontal="right" vertical="center"/>
    </xf>
    <xf numFmtId="176" fontId="24" fillId="0" borderId="2" xfId="3" applyNumberFormat="1" applyFont="1" applyFill="1" applyBorder="1" applyAlignment="1" applyProtection="1">
      <alignment horizontal="center" vertical="center"/>
    </xf>
    <xf numFmtId="176" fontId="24" fillId="0" borderId="3" xfId="3" applyNumberFormat="1" applyFont="1" applyFill="1" applyBorder="1" applyAlignment="1" applyProtection="1">
      <alignment horizontal="center" vertical="center"/>
    </xf>
    <xf numFmtId="176" fontId="24" fillId="0" borderId="0" xfId="3" applyNumberFormat="1"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0" xfId="0" applyFont="1" applyAlignment="1">
      <alignment vertical="top"/>
    </xf>
    <xf numFmtId="0" fontId="10" fillId="0" borderId="0" xfId="0" applyFont="1" applyAlignment="1">
      <alignment horizontal="left" vertical="center"/>
    </xf>
    <xf numFmtId="0" fontId="19" fillId="0" borderId="0" xfId="0" applyFont="1" applyAlignment="1">
      <alignment horizontal="left" vertical="center" wrapText="1"/>
    </xf>
    <xf numFmtId="0" fontId="6" fillId="4" borderId="0" xfId="2" applyFont="1" applyFill="1" applyAlignment="1">
      <alignment vertical="center" wrapText="1"/>
    </xf>
    <xf numFmtId="0" fontId="3" fillId="0" borderId="1" xfId="2" applyBorder="1" applyAlignment="1">
      <alignment horizontal="left" vertical="center" wrapText="1"/>
    </xf>
    <xf numFmtId="0" fontId="4" fillId="0" borderId="0" xfId="2" applyFont="1" applyAlignment="1">
      <alignment horizontal="center" vertical="center"/>
    </xf>
    <xf numFmtId="0" fontId="3" fillId="0" borderId="3" xfId="2" applyBorder="1" applyAlignment="1">
      <alignment horizontal="center" vertical="center" wrapText="1"/>
    </xf>
    <xf numFmtId="0" fontId="3" fillId="0" borderId="0" xfId="2" applyAlignment="1">
      <alignment horizontal="center" vertical="center"/>
    </xf>
    <xf numFmtId="0" fontId="3" fillId="0" borderId="0" xfId="2" applyAlignment="1">
      <alignment horizontal="left" vertical="center" wrapText="1"/>
    </xf>
    <xf numFmtId="0" fontId="6" fillId="0" borderId="1" xfId="2" applyFont="1" applyBorder="1" applyAlignment="1">
      <alignment horizontal="left" vertical="center" wrapText="1"/>
    </xf>
    <xf numFmtId="0" fontId="3" fillId="0" borderId="0" xfId="2" applyAlignment="1">
      <alignment horizontal="center" vertical="center" wrapText="1"/>
    </xf>
    <xf numFmtId="0" fontId="7" fillId="0" borderId="9" xfId="2" applyFont="1" applyBorder="1" applyAlignment="1">
      <alignment horizontal="center" vertical="center" textRotation="255"/>
    </xf>
    <xf numFmtId="0" fontId="3" fillId="0" borderId="1" xfId="2" applyBorder="1" applyAlignment="1">
      <alignment horizontal="center" vertical="center"/>
    </xf>
    <xf numFmtId="0" fontId="3" fillId="0" borderId="10" xfId="2" applyBorder="1" applyAlignment="1">
      <alignment horizontal="center" vertical="center"/>
    </xf>
    <xf numFmtId="0" fontId="3" fillId="0" borderId="9" xfId="2" applyBorder="1" applyAlignment="1">
      <alignment horizontal="center" vertical="center"/>
    </xf>
    <xf numFmtId="0" fontId="3" fillId="4" borderId="3" xfId="2" applyFill="1" applyBorder="1" applyAlignment="1">
      <alignment horizontal="center" vertical="center"/>
    </xf>
    <xf numFmtId="0" fontId="7" fillId="0" borderId="3" xfId="2" applyFont="1" applyBorder="1" applyAlignment="1">
      <alignment vertical="center" wrapText="1"/>
    </xf>
    <xf numFmtId="0" fontId="3" fillId="0" borderId="18" xfId="2" applyBorder="1" applyAlignment="1">
      <alignment horizontal="center" vertical="center" wrapText="1"/>
    </xf>
    <xf numFmtId="0" fontId="8" fillId="0" borderId="3" xfId="2" applyFont="1" applyBorder="1" applyAlignment="1">
      <alignment vertical="center" wrapText="1"/>
    </xf>
    <xf numFmtId="0" fontId="3" fillId="0" borderId="3" xfId="2" applyBorder="1" applyAlignment="1">
      <alignment vertical="center" wrapText="1"/>
    </xf>
    <xf numFmtId="0" fontId="3" fillId="0" borderId="0" xfId="2" applyAlignment="1">
      <alignment horizontal="left" vertical="center"/>
    </xf>
    <xf numFmtId="0" fontId="6" fillId="0" borderId="3" xfId="2" applyFont="1" applyBorder="1" applyAlignment="1">
      <alignment vertical="center" wrapText="1"/>
    </xf>
    <xf numFmtId="0" fontId="12" fillId="0" borderId="18" xfId="2" applyFont="1" applyBorder="1" applyAlignment="1">
      <alignment horizontal="center" vertical="center" wrapText="1"/>
    </xf>
    <xf numFmtId="0" fontId="3" fillId="4" borderId="15" xfId="2" applyFill="1" applyBorder="1" applyAlignment="1">
      <alignment horizontal="center" vertical="center" wrapText="1"/>
    </xf>
    <xf numFmtId="0" fontId="3" fillId="2" borderId="2" xfId="2" applyFill="1" applyBorder="1" applyAlignment="1">
      <alignment horizontal="right" vertical="center"/>
    </xf>
    <xf numFmtId="0" fontId="3" fillId="2" borderId="2" xfId="2" applyFill="1" applyBorder="1" applyAlignment="1">
      <alignment horizontal="left" vertical="center"/>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3" fillId="0" borderId="3" xfId="2"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lignment horizontal="center" vertical="center"/>
    </xf>
    <xf numFmtId="0" fontId="3" fillId="4" borderId="0" xfId="2" applyFill="1" applyAlignment="1">
      <alignment horizontal="center" vertical="center"/>
    </xf>
    <xf numFmtId="0" fontId="10" fillId="0" borderId="0" xfId="0" applyFont="1" applyAlignment="1">
      <alignment wrapText="1"/>
    </xf>
    <xf numFmtId="0" fontId="9" fillId="0" borderId="0" xfId="0" applyFont="1">
      <alignment vertical="center"/>
    </xf>
    <xf numFmtId="0" fontId="9" fillId="0" borderId="0" xfId="0" applyFont="1" applyAlignment="1">
      <alignment horizontal="center" vertical="center"/>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xf>
    <xf numFmtId="0" fontId="9" fillId="0" borderId="0" xfId="0" applyFont="1" applyAlignment="1">
      <alignment vertical="top"/>
    </xf>
    <xf numFmtId="0" fontId="9" fillId="0" borderId="7" xfId="0"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16" fillId="0" borderId="0" xfId="0" applyFont="1" applyAlignment="1">
      <alignment horizontal="left" vertical="center" wrapText="1"/>
    </xf>
    <xf numFmtId="0" fontId="4" fillId="0" borderId="0" xfId="2" applyFont="1" applyAlignment="1">
      <alignment horizontal="center" vertical="center" wrapText="1"/>
    </xf>
    <xf numFmtId="0" fontId="9" fillId="0" borderId="0" xfId="0" applyFont="1" applyAlignment="1">
      <alignment vertical="center" wrapText="1"/>
    </xf>
    <xf numFmtId="0" fontId="3" fillId="0" borderId="1" xfId="2" applyBorder="1" applyAlignment="1">
      <alignment horizontal="right" vertical="center"/>
    </xf>
    <xf numFmtId="0" fontId="3" fillId="2" borderId="2" xfId="2" applyFill="1" applyBorder="1" applyAlignment="1">
      <alignment horizontal="center" vertical="center"/>
    </xf>
    <xf numFmtId="0" fontId="3" fillId="2" borderId="5" xfId="2" applyFill="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right" vertical="center"/>
    </xf>
    <xf numFmtId="179" fontId="9" fillId="0" borderId="0" xfId="0" applyNumberFormat="1" applyFont="1" applyAlignment="1">
      <alignment horizontal="right" vertical="center"/>
    </xf>
    <xf numFmtId="0" fontId="18" fillId="0" borderId="0" xfId="0" applyFont="1" applyAlignment="1">
      <alignment horizontal="center" vertical="center"/>
    </xf>
    <xf numFmtId="178" fontId="9" fillId="0" borderId="0" xfId="0" applyNumberFormat="1" applyFont="1" applyAlignment="1">
      <alignment horizontal="right" vertical="center"/>
    </xf>
    <xf numFmtId="178" fontId="9" fillId="0" borderId="0" xfId="0" applyNumberFormat="1" applyFont="1" applyAlignment="1">
      <alignment horizontal="center" vertical="center"/>
    </xf>
    <xf numFmtId="0" fontId="9" fillId="0" borderId="34" xfId="0" applyFont="1" applyBorder="1" applyAlignment="1">
      <alignment horizontal="center" vertical="center"/>
    </xf>
    <xf numFmtId="179" fontId="9" fillId="0" borderId="34" xfId="0" applyNumberFormat="1" applyFont="1" applyBorder="1" applyAlignment="1">
      <alignment horizontal="right" vertical="center"/>
    </xf>
    <xf numFmtId="0" fontId="9" fillId="0" borderId="37" xfId="0" applyFont="1" applyBorder="1" applyAlignment="1">
      <alignment horizontal="center" vertical="center" wrapText="1"/>
    </xf>
    <xf numFmtId="0" fontId="9" fillId="0" borderId="4" xfId="0" applyFont="1" applyBorder="1" applyAlignment="1">
      <alignment horizontal="center" vertical="center" wrapText="1"/>
    </xf>
    <xf numFmtId="41" fontId="9" fillId="0" borderId="3" xfId="0" applyNumberFormat="1" applyFont="1" applyBorder="1" applyAlignment="1">
      <alignment horizontal="right" vertical="center"/>
    </xf>
    <xf numFmtId="41" fontId="9" fillId="0" borderId="37" xfId="0" applyNumberFormat="1" applyFont="1" applyBorder="1" applyAlignment="1">
      <alignment horizontal="right" vertical="center"/>
    </xf>
    <xf numFmtId="0" fontId="9" fillId="4" borderId="0" xfId="0" applyFont="1" applyFill="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right" vertical="center"/>
    </xf>
    <xf numFmtId="3" fontId="9" fillId="0" borderId="0" xfId="0" applyNumberFormat="1" applyFont="1" applyAlignment="1">
      <alignment horizontal="center" vertical="center"/>
    </xf>
    <xf numFmtId="3" fontId="11" fillId="0" borderId="0" xfId="0" applyNumberFormat="1" applyFont="1" applyAlignment="1">
      <alignment horizontal="right" vertical="center"/>
    </xf>
    <xf numFmtId="0" fontId="16" fillId="0" borderId="0" xfId="0" applyFont="1" applyAlignment="1">
      <alignment horizontal="left"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38" fontId="9" fillId="0" borderId="0" xfId="0" applyNumberFormat="1" applyFont="1">
      <alignment vertical="center"/>
    </xf>
    <xf numFmtId="0" fontId="16" fillId="4" borderId="7" xfId="0" applyFont="1" applyFill="1" applyBorder="1" applyAlignment="1">
      <alignment horizontal="left" vertical="center" wrapText="1"/>
    </xf>
    <xf numFmtId="0" fontId="15" fillId="0" borderId="0" xfId="2" applyFont="1" applyAlignment="1">
      <alignment horizontal="center" vertical="center" wrapText="1"/>
    </xf>
    <xf numFmtId="0" fontId="3" fillId="0" borderId="1" xfId="2" applyBorder="1" applyAlignment="1">
      <alignment horizontal="left" vertical="center"/>
    </xf>
    <xf numFmtId="0" fontId="9" fillId="0" borderId="1" xfId="0" applyFont="1" applyBorder="1" applyAlignment="1">
      <alignment horizontal="left" vertical="center"/>
    </xf>
    <xf numFmtId="0" fontId="3" fillId="0" borderId="1" xfId="2" applyBorder="1" applyAlignment="1">
      <alignment vertical="center"/>
    </xf>
    <xf numFmtId="0" fontId="9" fillId="0" borderId="7" xfId="0" applyFont="1" applyBorder="1" applyAlignment="1">
      <alignment vertical="center" wrapText="1"/>
    </xf>
    <xf numFmtId="0" fontId="9" fillId="0" borderId="13" xfId="0" applyFont="1" applyBorder="1">
      <alignment vertical="center"/>
    </xf>
    <xf numFmtId="0" fontId="9" fillId="0" borderId="46" xfId="0" applyFont="1" applyBorder="1">
      <alignment vertical="center"/>
    </xf>
    <xf numFmtId="0" fontId="3" fillId="0" borderId="0" xfId="2" applyAlignment="1">
      <alignment vertical="center"/>
    </xf>
    <xf numFmtId="0" fontId="9" fillId="0" borderId="35" xfId="0" applyFont="1" applyBorder="1" applyAlignment="1">
      <alignment horizontal="center" vertical="center"/>
    </xf>
    <xf numFmtId="41" fontId="9" fillId="0" borderId="34" xfId="0" applyNumberFormat="1" applyFont="1" applyBorder="1" applyAlignment="1">
      <alignment horizontal="center" vertical="center" wrapText="1"/>
    </xf>
    <xf numFmtId="180" fontId="9" fillId="0" borderId="3" xfId="0" applyNumberFormat="1" applyFont="1" applyBorder="1" applyAlignment="1">
      <alignment horizontal="center" vertical="center"/>
    </xf>
    <xf numFmtId="176" fontId="9" fillId="4" borderId="2" xfId="3" applyNumberFormat="1" applyFont="1" applyFill="1" applyBorder="1" applyAlignment="1" applyProtection="1">
      <alignment horizontal="center" vertical="center"/>
    </xf>
    <xf numFmtId="0" fontId="9" fillId="0" borderId="2" xfId="0" applyFont="1" applyBorder="1" applyAlignment="1">
      <alignment vertical="center" wrapText="1"/>
    </xf>
    <xf numFmtId="176" fontId="9" fillId="4" borderId="5" xfId="3" applyNumberFormat="1" applyFont="1" applyFill="1" applyBorder="1" applyAlignment="1" applyProtection="1">
      <alignment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6" fontId="9" fillId="0" borderId="0" xfId="0" applyNumberFormat="1" applyFont="1">
      <alignment vertical="center"/>
    </xf>
    <xf numFmtId="0" fontId="9" fillId="0" borderId="2" xfId="0" applyFont="1" applyBorder="1" applyAlignment="1">
      <alignment horizontal="left" vertical="center"/>
    </xf>
    <xf numFmtId="0" fontId="9" fillId="4" borderId="31" xfId="0" applyFont="1" applyFill="1" applyBorder="1" applyAlignment="1">
      <alignment horizontal="center" vertical="center"/>
    </xf>
    <xf numFmtId="0" fontId="9" fillId="0" borderId="4" xfId="0" applyFont="1" applyBorder="1" applyAlignment="1">
      <alignment horizontal="center" vertical="center"/>
    </xf>
    <xf numFmtId="0" fontId="17" fillId="0" borderId="3" xfId="0" applyFont="1" applyBorder="1" applyAlignment="1">
      <alignment vertical="center" wrapText="1"/>
    </xf>
    <xf numFmtId="14" fontId="6" fillId="0" borderId="0" xfId="2" applyNumberFormat="1" applyFont="1" applyAlignment="1">
      <alignment horizontal="left" vertical="center"/>
    </xf>
    <xf numFmtId="14" fontId="6" fillId="0" borderId="0" xfId="2" applyNumberFormat="1" applyFont="1" applyAlignment="1">
      <alignment horizontal="right" vertical="center"/>
    </xf>
    <xf numFmtId="0" fontId="9" fillId="0" borderId="5" xfId="0" applyFont="1" applyBorder="1">
      <alignment vertical="center"/>
    </xf>
    <xf numFmtId="0" fontId="16" fillId="0" borderId="5" xfId="0" applyFont="1" applyBorder="1">
      <alignment vertical="center"/>
    </xf>
    <xf numFmtId="0" fontId="16" fillId="0" borderId="0" xfId="0" applyFont="1">
      <alignment vertical="center"/>
    </xf>
    <xf numFmtId="0" fontId="18" fillId="0" borderId="0" xfId="0" applyFont="1">
      <alignment vertical="center"/>
    </xf>
    <xf numFmtId="0" fontId="9" fillId="0" borderId="37" xfId="0" applyFont="1" applyBorder="1" applyAlignment="1">
      <alignment horizontal="center" vertical="center"/>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lignment vertical="center"/>
    </xf>
    <xf numFmtId="0" fontId="3" fillId="0" borderId="13" xfId="2" applyBorder="1" applyAlignment="1">
      <alignment horizontal="left" vertical="center" wrapText="1"/>
    </xf>
    <xf numFmtId="0" fontId="3" fillId="0" borderId="3" xfId="2"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2" borderId="21" xfId="2" applyFill="1" applyBorder="1" applyAlignment="1">
      <alignment horizontal="center" vertical="center" wrapText="1"/>
    </xf>
    <xf numFmtId="0" fontId="3" fillId="2" borderId="2" xfId="2" applyFill="1" applyBorder="1" applyAlignment="1">
      <alignment horizontal="center" vertical="center" wrapText="1"/>
    </xf>
    <xf numFmtId="0" fontId="3" fillId="2" borderId="22" xfId="2"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3" fillId="2" borderId="2" xfId="2" applyFill="1" applyBorder="1" applyAlignment="1">
      <alignment horizontal="left" vertical="center"/>
    </xf>
    <xf numFmtId="0" fontId="3" fillId="2" borderId="5" xfId="2" applyFill="1" applyBorder="1" applyAlignment="1">
      <alignment horizontal="left" vertical="center"/>
    </xf>
    <xf numFmtId="0" fontId="3" fillId="2" borderId="4" xfId="2" applyFill="1" applyBorder="1" applyAlignment="1">
      <alignment horizontal="left"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0" borderId="1" xfId="2" applyBorder="1" applyAlignment="1">
      <alignment horizontal="left" vertical="center" wrapText="1"/>
    </xf>
    <xf numFmtId="0" fontId="6" fillId="4" borderId="7" xfId="2" applyFont="1" applyFill="1" applyBorder="1" applyAlignment="1">
      <alignment horizontal="left" vertical="center" wrapText="1"/>
    </xf>
    <xf numFmtId="0" fontId="16" fillId="4" borderId="7" xfId="0" applyFont="1" applyFill="1" applyBorder="1" applyAlignment="1">
      <alignment horizontal="center" vertical="center"/>
    </xf>
    <xf numFmtId="14" fontId="16" fillId="4" borderId="7" xfId="0" applyNumberFormat="1" applyFont="1" applyFill="1" applyBorder="1" applyAlignment="1">
      <alignment horizontal="left" vertical="center" wrapText="1"/>
    </xf>
    <xf numFmtId="0" fontId="3" fillId="0" borderId="0" xfId="2" applyAlignment="1">
      <alignment horizontal="left" vertical="center" wrapText="1"/>
    </xf>
    <xf numFmtId="0" fontId="20" fillId="0" borderId="0" xfId="2" applyFont="1" applyAlignment="1">
      <alignment horizontal="center" vertical="center" wrapText="1"/>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8" fillId="4" borderId="3" xfId="2" applyFont="1" applyFill="1" applyBorder="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5" xfId="0" applyFont="1" applyFill="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5" borderId="2" xfId="2" applyFill="1" applyBorder="1" applyAlignment="1" applyProtection="1">
      <alignment horizontal="center" vertical="center"/>
      <protection locked="0"/>
    </xf>
    <xf numFmtId="0" fontId="6" fillId="0" borderId="3" xfId="2" applyFont="1" applyBorder="1" applyAlignment="1">
      <alignment horizontal="center" vertical="center" wrapText="1"/>
    </xf>
    <xf numFmtId="0" fontId="3" fillId="0" borderId="11" xfId="2" applyBorder="1" applyAlignment="1">
      <alignment vertical="center" wrapText="1"/>
    </xf>
    <xf numFmtId="0" fontId="3" fillId="0" borderId="12" xfId="2" applyBorder="1" applyAlignment="1">
      <alignment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3" fillId="0" borderId="10" xfId="2" applyBorder="1" applyAlignment="1">
      <alignment horizontal="center" vertical="center"/>
    </xf>
    <xf numFmtId="0" fontId="9" fillId="0" borderId="0" xfId="0" applyFont="1" applyAlignment="1">
      <alignment vertical="center" wrapText="1"/>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3" fillId="0" borderId="11" xfId="2" applyBorder="1" applyAlignment="1">
      <alignment horizontal="center" vertical="center"/>
    </xf>
    <xf numFmtId="0" fontId="3" fillId="0" borderId="12" xfId="2" applyBorder="1" applyAlignment="1">
      <alignment horizontal="center" vertical="center"/>
    </xf>
    <xf numFmtId="0" fontId="3" fillId="0" borderId="9" xfId="2" applyBorder="1" applyAlignment="1">
      <alignment horizontal="center" vertical="center"/>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3" fillId="0" borderId="3" xfId="2" applyBorder="1" applyAlignment="1">
      <alignment horizontal="center" vertical="center"/>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14" fontId="16" fillId="4" borderId="7" xfId="0" applyNumberFormat="1" applyFont="1" applyFill="1" applyBorder="1" applyAlignment="1">
      <alignment horizontal="left" vertical="center"/>
    </xf>
    <xf numFmtId="0" fontId="16" fillId="4" borderId="7" xfId="0" applyFont="1" applyFill="1" applyBorder="1" applyAlignment="1">
      <alignment horizontal="lef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5" fillId="0" borderId="3" xfId="2" applyFont="1" applyBorder="1" applyAlignment="1">
      <alignment horizontal="center" vertical="center" wrapText="1"/>
    </xf>
    <xf numFmtId="0" fontId="3" fillId="0" borderId="23" xfId="2" applyBorder="1" applyAlignment="1">
      <alignment horizontal="center" vertical="center" wrapText="1"/>
    </xf>
    <xf numFmtId="0" fontId="3" fillId="0" borderId="24" xfId="2" applyBorder="1" applyAlignment="1">
      <alignment horizontal="center" vertical="center" wrapText="1"/>
    </xf>
    <xf numFmtId="0" fontId="3" fillId="0" borderId="25" xfId="2" applyBorder="1" applyAlignment="1">
      <alignment horizontal="center" vertical="center" wrapText="1"/>
    </xf>
    <xf numFmtId="0" fontId="3" fillId="0" borderId="21" xfId="2" applyBorder="1" applyAlignment="1">
      <alignment horizontal="center" vertical="center" wrapText="1"/>
    </xf>
    <xf numFmtId="0" fontId="3" fillId="4" borderId="3" xfId="2" applyFill="1" applyBorder="1" applyAlignment="1">
      <alignment horizontal="center" vertical="center" wrapText="1"/>
    </xf>
    <xf numFmtId="0" fontId="8" fillId="0" borderId="3" xfId="2" applyFont="1" applyBorder="1" applyAlignment="1">
      <alignment horizontal="center" vertical="center" wrapText="1"/>
    </xf>
    <xf numFmtId="0" fontId="3" fillId="0" borderId="4" xfId="2" applyBorder="1" applyAlignment="1">
      <alignment horizontal="right" vertical="center"/>
    </xf>
    <xf numFmtId="0" fontId="3" fillId="0" borderId="2" xfId="2" applyBorder="1" applyAlignment="1">
      <alignment horizontal="right"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49" fontId="3" fillId="0" borderId="16" xfId="2" applyNumberFormat="1" applyBorder="1" applyAlignment="1">
      <alignment horizontal="center" vertical="center" wrapText="1"/>
    </xf>
    <xf numFmtId="49" fontId="3" fillId="0" borderId="17" xfId="2" applyNumberFormat="1" applyBorder="1" applyAlignment="1">
      <alignment horizontal="center" vertical="center" wrapText="1"/>
    </xf>
    <xf numFmtId="0" fontId="9" fillId="0" borderId="0" xfId="0" applyFont="1">
      <alignment vertical="center"/>
    </xf>
    <xf numFmtId="38" fontId="9" fillId="4" borderId="1" xfId="1" applyFont="1" applyFill="1" applyBorder="1" applyAlignment="1" applyProtection="1">
      <alignment horizontal="center" vertical="center"/>
    </xf>
    <xf numFmtId="0" fontId="9" fillId="0" borderId="0" xfId="0" applyFont="1" applyAlignment="1">
      <alignment horizontal="left" vertical="center"/>
    </xf>
    <xf numFmtId="0" fontId="18" fillId="0" borderId="3" xfId="0" applyFont="1" applyBorder="1" applyAlignment="1">
      <alignment horizontal="left" vertical="center"/>
    </xf>
    <xf numFmtId="0" fontId="9" fillId="0" borderId="3" xfId="0" applyFont="1" applyBorder="1" applyAlignment="1">
      <alignment horizontal="center" vertical="center"/>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6" xfId="0" applyFont="1" applyBorder="1" applyAlignment="1">
      <alignment horizontal="right"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38" fontId="9" fillId="6" borderId="26" xfId="1" applyFont="1" applyFill="1" applyBorder="1" applyAlignment="1" applyProtection="1">
      <alignment horizontal="center" vertical="center"/>
    </xf>
    <xf numFmtId="38" fontId="9" fillId="6" borderId="27" xfId="1" applyFont="1" applyFill="1" applyBorder="1" applyAlignment="1" applyProtection="1">
      <alignment horizontal="center" vertical="center"/>
    </xf>
    <xf numFmtId="38" fontId="9" fillId="6" borderId="28" xfId="1" applyFont="1" applyFill="1" applyBorder="1" applyAlignment="1" applyProtection="1">
      <alignment horizontal="center" vertical="center"/>
    </xf>
    <xf numFmtId="38" fontId="9" fillId="4" borderId="6" xfId="1" applyFont="1" applyFill="1" applyBorder="1" applyAlignment="1" applyProtection="1">
      <alignment horizontal="center" vertical="center"/>
    </xf>
    <xf numFmtId="38" fontId="9" fillId="4" borderId="7" xfId="1" applyFont="1" applyFill="1" applyBorder="1" applyAlignment="1" applyProtection="1">
      <alignment horizontal="center" vertical="center"/>
    </xf>
    <xf numFmtId="38" fontId="9" fillId="4" borderId="8" xfId="1" applyFont="1" applyFill="1" applyBorder="1" applyAlignment="1" applyProtection="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38" fontId="9" fillId="6" borderId="4" xfId="1" applyFont="1" applyFill="1" applyBorder="1" applyAlignment="1" applyProtection="1">
      <alignment horizontal="center" vertical="center"/>
    </xf>
    <xf numFmtId="38" fontId="9" fillId="6" borderId="2" xfId="1" applyFont="1" applyFill="1" applyBorder="1" applyAlignment="1" applyProtection="1">
      <alignment horizontal="center" vertical="center"/>
    </xf>
    <xf numFmtId="38" fontId="9" fillId="6" borderId="5" xfId="1" applyFont="1" applyFill="1" applyBorder="1" applyAlignment="1" applyProtection="1">
      <alignment horizontal="center" vertical="center"/>
    </xf>
    <xf numFmtId="38" fontId="9" fillId="6" borderId="30" xfId="1" applyFont="1" applyFill="1" applyBorder="1" applyAlignment="1" applyProtection="1">
      <alignment horizontal="center" vertical="center"/>
    </xf>
    <xf numFmtId="38" fontId="9" fillId="6" borderId="31" xfId="1" applyFont="1" applyFill="1" applyBorder="1" applyAlignment="1" applyProtection="1">
      <alignment horizontal="center" vertical="center"/>
    </xf>
    <xf numFmtId="38" fontId="9" fillId="6" borderId="32" xfId="1" applyFont="1" applyFill="1" applyBorder="1" applyAlignment="1" applyProtection="1">
      <alignment horizontal="center"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38" fontId="9" fillId="4" borderId="27" xfId="0" applyNumberFormat="1" applyFont="1" applyFill="1" applyBorder="1" applyAlignment="1">
      <alignment horizontal="center" vertical="center"/>
    </xf>
    <xf numFmtId="0" fontId="9" fillId="0" borderId="28" xfId="0" applyFont="1" applyBorder="1" applyAlignment="1">
      <alignment horizontal="left"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38" fontId="9" fillId="6" borderId="7" xfId="1" applyFont="1" applyFill="1" applyBorder="1" applyAlignment="1" applyProtection="1">
      <alignment horizontal="center" vertical="center"/>
    </xf>
    <xf numFmtId="0" fontId="9" fillId="0" borderId="4" xfId="0" applyFont="1" applyBorder="1" applyAlignment="1">
      <alignment horizontal="left" vertical="center"/>
    </xf>
    <xf numFmtId="49" fontId="9" fillId="0" borderId="11" xfId="0" applyNumberFormat="1" applyFont="1" applyBorder="1" applyAlignment="1">
      <alignment horizontal="left" vertical="center"/>
    </xf>
    <xf numFmtId="178" fontId="9" fillId="4" borderId="4" xfId="1" applyNumberFormat="1" applyFont="1" applyFill="1" applyBorder="1" applyAlignment="1" applyProtection="1">
      <alignment horizontal="center" vertical="center"/>
    </xf>
    <xf numFmtId="178" fontId="9" fillId="4" borderId="2" xfId="1" applyNumberFormat="1" applyFont="1" applyFill="1" applyBorder="1" applyAlignment="1" applyProtection="1">
      <alignment horizontal="center" vertical="center"/>
    </xf>
    <xf numFmtId="178" fontId="9" fillId="4" borderId="5" xfId="1" applyNumberFormat="1" applyFont="1" applyFill="1" applyBorder="1" applyAlignment="1" applyProtection="1">
      <alignment horizontal="center" vertical="center"/>
    </xf>
    <xf numFmtId="0" fontId="9" fillId="4" borderId="3" xfId="0" applyFont="1" applyFill="1" applyBorder="1" applyAlignment="1">
      <alignment horizontal="center" vertical="center"/>
    </xf>
    <xf numFmtId="178" fontId="9" fillId="4" borderId="6" xfId="0" applyNumberFormat="1" applyFont="1" applyFill="1" applyBorder="1" applyAlignment="1">
      <alignment horizontal="center" vertical="center"/>
    </xf>
    <xf numFmtId="178" fontId="9" fillId="4" borderId="7" xfId="0" applyNumberFormat="1" applyFont="1" applyFill="1" applyBorder="1" applyAlignment="1">
      <alignment horizontal="center" vertical="center"/>
    </xf>
    <xf numFmtId="178" fontId="9" fillId="4" borderId="8" xfId="0" applyNumberFormat="1" applyFont="1" applyFill="1" applyBorder="1" applyAlignment="1">
      <alignment horizontal="center" vertical="center"/>
    </xf>
    <xf numFmtId="0" fontId="9" fillId="0" borderId="3" xfId="0" applyFont="1" applyBorder="1" applyAlignment="1">
      <alignment horizontal="left" vertical="center"/>
    </xf>
    <xf numFmtId="0" fontId="8" fillId="0" borderId="3" xfId="2" applyFont="1" applyBorder="1" applyAlignment="1">
      <alignment horizontal="center" vertical="center"/>
    </xf>
    <xf numFmtId="0" fontId="3" fillId="5" borderId="3" xfId="2" applyFill="1" applyBorder="1" applyAlignment="1" applyProtection="1">
      <alignment horizontal="center" vertical="center" wrapText="1"/>
      <protection locked="0"/>
    </xf>
    <xf numFmtId="49" fontId="9" fillId="0" borderId="26" xfId="0" applyNumberFormat="1" applyFont="1" applyBorder="1" applyAlignment="1">
      <alignment horizontal="left" vertical="center"/>
    </xf>
    <xf numFmtId="49" fontId="9" fillId="0" borderId="27" xfId="0" applyNumberFormat="1" applyFont="1" applyBorder="1" applyAlignment="1">
      <alignment horizontal="left" vertical="center"/>
    </xf>
    <xf numFmtId="49" fontId="9" fillId="0" borderId="28" xfId="0" applyNumberFormat="1" applyFont="1" applyBorder="1" applyAlignment="1">
      <alignment horizontal="left"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49" fontId="9" fillId="0" borderId="4"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5" xfId="0" applyNumberFormat="1" applyFont="1" applyBorder="1" applyAlignment="1">
      <alignment horizontal="lef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8" fillId="5" borderId="4" xfId="2" applyFont="1" applyFill="1" applyBorder="1" applyAlignment="1" applyProtection="1">
      <alignment horizontal="left" vertical="center" wrapText="1"/>
      <protection locked="0"/>
    </xf>
    <xf numFmtId="0" fontId="8" fillId="5" borderId="2" xfId="2" applyFont="1" applyFill="1" applyBorder="1" applyAlignment="1" applyProtection="1">
      <alignment horizontal="left" vertical="center" wrapText="1"/>
      <protection locked="0"/>
    </xf>
    <xf numFmtId="0" fontId="8" fillId="5" borderId="5" xfId="2" applyFont="1" applyFill="1" applyBorder="1" applyAlignment="1" applyProtection="1">
      <alignment horizontal="left" vertical="center" wrapText="1"/>
      <protection locked="0"/>
    </xf>
    <xf numFmtId="38" fontId="9" fillId="4" borderId="2" xfId="1" applyFont="1" applyFill="1" applyBorder="1" applyAlignment="1" applyProtection="1">
      <alignment horizontal="center" vertical="center"/>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2" xfId="0" applyFont="1" applyBorder="1" applyAlignment="1">
      <alignment horizontal="center" vertical="center"/>
    </xf>
    <xf numFmtId="14" fontId="9" fillId="5" borderId="2" xfId="0" applyNumberFormat="1" applyFont="1" applyFill="1" applyBorder="1" applyAlignment="1" applyProtection="1">
      <alignment horizontal="center" vertical="center"/>
      <protection locked="0"/>
    </xf>
    <xf numFmtId="14" fontId="9" fillId="5" borderId="5" xfId="0" applyNumberFormat="1" applyFont="1" applyFill="1" applyBorder="1" applyAlignment="1" applyProtection="1">
      <alignment horizontal="center" vertical="center"/>
      <protection locked="0"/>
    </xf>
    <xf numFmtId="0" fontId="9" fillId="4" borderId="1" xfId="0" applyFont="1" applyFill="1" applyBorder="1" applyAlignment="1">
      <alignment horizontal="center" vertical="center"/>
    </xf>
    <xf numFmtId="38" fontId="9" fillId="6" borderId="1" xfId="1" applyFont="1" applyFill="1" applyBorder="1" applyAlignment="1" applyProtection="1">
      <alignment horizontal="center" vertical="center"/>
    </xf>
    <xf numFmtId="14" fontId="6" fillId="5" borderId="2" xfId="2" applyNumberFormat="1" applyFont="1" applyFill="1" applyBorder="1" applyAlignment="1" applyProtection="1">
      <alignment horizontal="left" vertical="center"/>
      <protection locked="0"/>
    </xf>
    <xf numFmtId="0" fontId="6" fillId="5" borderId="7" xfId="2" applyFont="1" applyFill="1" applyBorder="1" applyAlignment="1">
      <alignment horizontal="left" vertical="center"/>
    </xf>
    <xf numFmtId="0" fontId="20" fillId="0" borderId="1" xfId="2" applyFont="1" applyBorder="1" applyAlignment="1">
      <alignment horizontal="center" vertical="center"/>
    </xf>
    <xf numFmtId="0" fontId="9" fillId="5" borderId="5" xfId="0" applyFont="1" applyFill="1" applyBorder="1" applyAlignment="1" applyProtection="1">
      <alignment horizontal="center" vertical="center"/>
      <protection locked="0"/>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14" fontId="6" fillId="5" borderId="2" xfId="2" applyNumberFormat="1" applyFont="1" applyFill="1" applyBorder="1" applyAlignment="1">
      <alignment horizontal="right" vertical="center"/>
    </xf>
    <xf numFmtId="38" fontId="9" fillId="4" borderId="2" xfId="0" applyNumberFormat="1" applyFont="1" applyFill="1" applyBorder="1" applyAlignment="1">
      <alignment horizontal="center" vertical="center"/>
    </xf>
    <xf numFmtId="0" fontId="9" fillId="0" borderId="0" xfId="0" applyFont="1" applyAlignment="1">
      <alignment horizontal="center" vertical="center"/>
    </xf>
    <xf numFmtId="9" fontId="9" fillId="0" borderId="0" xfId="0" applyNumberFormat="1" applyFont="1" applyAlignment="1">
      <alignment horizontal="center" vertical="center"/>
    </xf>
    <xf numFmtId="3" fontId="9" fillId="6" borderId="0" xfId="0" applyNumberFormat="1" applyFont="1" applyFill="1" applyAlignment="1">
      <alignment horizontal="center" vertical="center"/>
    </xf>
    <xf numFmtId="0" fontId="16" fillId="0" borderId="0" xfId="0" applyFont="1" applyAlignment="1">
      <alignment horizontal="left" vertical="center"/>
    </xf>
    <xf numFmtId="3" fontId="9" fillId="4" borderId="1" xfId="0" applyNumberFormat="1" applyFont="1" applyFill="1" applyBorder="1" applyAlignment="1">
      <alignment horizontal="center" vertical="center"/>
    </xf>
    <xf numFmtId="3" fontId="9" fillId="4" borderId="2"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0" fontId="9" fillId="0" borderId="0" xfId="0" applyFont="1" applyAlignment="1">
      <alignment horizontal="left" vertical="center" shrinkToFit="1"/>
    </xf>
    <xf numFmtId="0" fontId="9" fillId="4" borderId="0" xfId="0" applyFont="1" applyFill="1" applyAlignment="1">
      <alignment horizontal="center" vertical="center"/>
    </xf>
    <xf numFmtId="0" fontId="11" fillId="5" borderId="0" xfId="0" applyFont="1" applyFill="1" applyAlignment="1" applyProtection="1">
      <alignment horizontal="center" vertical="center"/>
      <protection locked="0"/>
    </xf>
    <xf numFmtId="0" fontId="9" fillId="0" borderId="0" xfId="0" applyFont="1" applyAlignment="1">
      <alignment horizontal="right" vertical="center"/>
    </xf>
    <xf numFmtId="38" fontId="9" fillId="4" borderId="26" xfId="1" applyFont="1" applyFill="1" applyBorder="1" applyAlignment="1" applyProtection="1">
      <alignment horizontal="center" vertical="center"/>
    </xf>
    <xf numFmtId="38" fontId="9" fillId="4" borderId="27" xfId="1" applyFont="1" applyFill="1" applyBorder="1" applyAlignment="1" applyProtection="1">
      <alignment horizontal="center" vertical="center"/>
    </xf>
    <xf numFmtId="38" fontId="9" fillId="4" borderId="28" xfId="1" applyFont="1" applyFill="1" applyBorder="1" applyAlignment="1" applyProtection="1">
      <alignment horizontal="center" vertical="center"/>
    </xf>
    <xf numFmtId="38" fontId="9" fillId="4" borderId="3" xfId="1" applyFont="1" applyFill="1" applyBorder="1" applyAlignment="1" applyProtection="1">
      <alignment horizontal="center"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16" fillId="0" borderId="9" xfId="0" applyFont="1" applyBorder="1" applyAlignment="1">
      <alignment horizontal="left"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xf>
    <xf numFmtId="0" fontId="16" fillId="0" borderId="5"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30" xfId="0" applyFont="1" applyBorder="1" applyAlignment="1">
      <alignment horizontal="right" vertical="center"/>
    </xf>
    <xf numFmtId="0" fontId="9" fillId="0" borderId="31" xfId="0" applyFont="1" applyBorder="1" applyAlignment="1">
      <alignment horizontal="right" vertical="center"/>
    </xf>
    <xf numFmtId="0" fontId="9" fillId="0" borderId="32" xfId="0" applyFont="1" applyBorder="1" applyAlignment="1">
      <alignment horizontal="right" vertical="center"/>
    </xf>
    <xf numFmtId="38" fontId="9" fillId="4" borderId="31" xfId="0" applyNumberFormat="1" applyFont="1" applyFill="1" applyBorder="1" applyAlignment="1">
      <alignment horizontal="center" vertical="center"/>
    </xf>
    <xf numFmtId="3" fontId="9" fillId="0" borderId="0" xfId="0" applyNumberFormat="1" applyFont="1" applyAlignment="1">
      <alignment horizontal="center" vertical="center"/>
    </xf>
    <xf numFmtId="0" fontId="11" fillId="6" borderId="0" xfId="0" applyFont="1" applyFill="1" applyAlignment="1">
      <alignment horizontal="center" vertical="center"/>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9" fillId="0" borderId="37" xfId="0" applyFont="1" applyBorder="1" applyAlignment="1">
      <alignment horizontal="center" vertical="center"/>
    </xf>
    <xf numFmtId="38" fontId="9" fillId="4" borderId="0" xfId="1" applyFont="1" applyFill="1" applyBorder="1" applyAlignment="1" applyProtection="1">
      <alignment horizontal="center" vertical="center"/>
    </xf>
    <xf numFmtId="38" fontId="9" fillId="4" borderId="11" xfId="1" applyFont="1" applyFill="1" applyBorder="1" applyAlignment="1" applyProtection="1">
      <alignment horizontal="center" vertical="center"/>
    </xf>
    <xf numFmtId="38" fontId="9" fillId="4" borderId="29" xfId="0" applyNumberFormat="1" applyFont="1" applyFill="1" applyBorder="1" applyAlignment="1">
      <alignment horizontal="center" vertical="center"/>
    </xf>
    <xf numFmtId="0" fontId="9" fillId="4" borderId="29" xfId="0" applyFont="1" applyFill="1" applyBorder="1" applyAlignment="1">
      <alignment horizontal="center" vertical="center"/>
    </xf>
    <xf numFmtId="49" fontId="9" fillId="0" borderId="6" xfId="0" applyNumberFormat="1" applyFont="1" applyBorder="1" applyAlignment="1">
      <alignment horizontal="left"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0" fontId="17" fillId="0" borderId="6" xfId="0" applyFont="1" applyBorder="1" applyAlignment="1">
      <alignment vertical="center" wrapText="1"/>
    </xf>
    <xf numFmtId="0" fontId="17" fillId="0" borderId="13" xfId="0" applyFont="1" applyBorder="1" applyAlignment="1">
      <alignment vertical="center" wrapText="1"/>
    </xf>
    <xf numFmtId="0" fontId="17" fillId="0" borderId="9" xfId="0" applyFont="1" applyBorder="1" applyAlignment="1">
      <alignment vertical="center" wrapText="1"/>
    </xf>
    <xf numFmtId="38" fontId="9" fillId="0" borderId="37" xfId="1" applyFont="1" applyFill="1" applyBorder="1" applyAlignment="1" applyProtection="1">
      <alignment horizontal="center" vertical="center"/>
    </xf>
    <xf numFmtId="0" fontId="17" fillId="0" borderId="3" xfId="0" applyFont="1" applyBorder="1" applyAlignment="1">
      <alignment vertical="center" wrapText="1"/>
    </xf>
    <xf numFmtId="0" fontId="17" fillId="0" borderId="11" xfId="0" applyFont="1" applyBorder="1" applyAlignment="1">
      <alignment vertical="center" wrapText="1"/>
    </xf>
    <xf numFmtId="41" fontId="9" fillId="0" borderId="3" xfId="0" applyNumberFormat="1" applyFont="1" applyBorder="1" applyAlignment="1">
      <alignment horizontal="right" vertical="center"/>
    </xf>
    <xf numFmtId="41" fontId="9" fillId="0" borderId="11" xfId="0" applyNumberFormat="1" applyFont="1" applyBorder="1" applyAlignment="1">
      <alignment horizontal="right" vertical="center"/>
    </xf>
    <xf numFmtId="41" fontId="9" fillId="0" borderId="37" xfId="0" applyNumberFormat="1" applyFont="1" applyBorder="1" applyAlignment="1">
      <alignment horizontal="right" vertical="center"/>
    </xf>
    <xf numFmtId="41" fontId="9" fillId="0" borderId="4" xfId="0" applyNumberFormat="1" applyFont="1" applyBorder="1" applyAlignment="1">
      <alignment horizontal="right" vertical="center"/>
    </xf>
    <xf numFmtId="41" fontId="9" fillId="0" borderId="8" xfId="0" applyNumberFormat="1" applyFont="1" applyBorder="1" applyAlignment="1">
      <alignment horizontal="right" vertical="center"/>
    </xf>
    <xf numFmtId="41" fontId="9" fillId="0" borderId="14" xfId="0" applyNumberFormat="1" applyFont="1" applyBorder="1" applyAlignment="1">
      <alignment horizontal="right" vertical="center"/>
    </xf>
    <xf numFmtId="41" fontId="9" fillId="0" borderId="10" xfId="0" applyNumberFormat="1" applyFont="1" applyBorder="1" applyAlignment="1">
      <alignment horizontal="right" vertical="center"/>
    </xf>
    <xf numFmtId="41" fontId="9" fillId="0" borderId="11" xfId="0" applyNumberFormat="1" applyFont="1" applyBorder="1">
      <alignment vertical="center"/>
    </xf>
    <xf numFmtId="41" fontId="9" fillId="0" borderId="41" xfId="0" applyNumberFormat="1" applyFont="1" applyBorder="1">
      <alignment vertical="center"/>
    </xf>
    <xf numFmtId="41" fontId="9" fillId="0" borderId="12" xfId="0" applyNumberFormat="1" applyFont="1" applyBorder="1">
      <alignment vertical="center"/>
    </xf>
    <xf numFmtId="41" fontId="9" fillId="0" borderId="41" xfId="0" applyNumberFormat="1" applyFont="1" applyBorder="1" applyAlignment="1">
      <alignment horizontal="right" vertical="center"/>
    </xf>
    <xf numFmtId="41" fontId="9" fillId="0" borderId="12" xfId="0" applyNumberFormat="1" applyFont="1" applyBorder="1" applyAlignment="1">
      <alignment horizontal="right" vertical="center"/>
    </xf>
    <xf numFmtId="41" fontId="9" fillId="0" borderId="37" xfId="0" applyNumberFormat="1" applyFont="1" applyBorder="1">
      <alignment vertical="center"/>
    </xf>
    <xf numFmtId="41" fontId="9" fillId="0" borderId="4" xfId="0" applyNumberFormat="1" applyFont="1" applyBorder="1">
      <alignment vertical="center"/>
    </xf>
    <xf numFmtId="41" fontId="9" fillId="0" borderId="8" xfId="0" applyNumberFormat="1" applyFont="1" applyBorder="1">
      <alignment vertical="center"/>
    </xf>
    <xf numFmtId="41" fontId="9" fillId="0" borderId="14" xfId="0" applyNumberFormat="1" applyFont="1" applyBorder="1">
      <alignment vertical="center"/>
    </xf>
    <xf numFmtId="41" fontId="9" fillId="0" borderId="10" xfId="0" applyNumberFormat="1" applyFont="1" applyBorder="1">
      <alignment vertical="center"/>
    </xf>
    <xf numFmtId="0" fontId="17" fillId="0" borderId="41" xfId="0" applyFont="1" applyBorder="1" applyAlignment="1">
      <alignment vertical="center" wrapText="1"/>
    </xf>
    <xf numFmtId="0" fontId="17" fillId="0" borderId="12" xfId="0" applyFont="1" applyBorder="1" applyAlignment="1">
      <alignment vertical="center" wrapText="1"/>
    </xf>
    <xf numFmtId="41" fontId="9" fillId="0" borderId="39" xfId="0" applyNumberFormat="1" applyFont="1" applyBorder="1" applyAlignment="1">
      <alignment horizontal="right" vertical="center"/>
    </xf>
    <xf numFmtId="41" fontId="9" fillId="0" borderId="42" xfId="0" applyNumberFormat="1" applyFont="1" applyBorder="1" applyAlignment="1">
      <alignment horizontal="right" vertical="center"/>
    </xf>
    <xf numFmtId="41" fontId="9" fillId="0" borderId="44" xfId="0" applyNumberFormat="1" applyFont="1" applyBorder="1" applyAlignment="1">
      <alignment horizontal="right" vertical="center"/>
    </xf>
    <xf numFmtId="41" fontId="9" fillId="0" borderId="40" xfId="0" applyNumberFormat="1" applyFont="1" applyBorder="1" applyAlignment="1">
      <alignment horizontal="right" vertical="center"/>
    </xf>
    <xf numFmtId="41" fontId="9" fillId="0" borderId="43" xfId="0" applyNumberFormat="1" applyFont="1" applyBorder="1" applyAlignment="1">
      <alignment horizontal="right" vertical="center"/>
    </xf>
    <xf numFmtId="41" fontId="9" fillId="0" borderId="45" xfId="0" applyNumberFormat="1" applyFont="1" applyBorder="1" applyAlignment="1">
      <alignment horizontal="right" vertical="center"/>
    </xf>
    <xf numFmtId="41" fontId="9" fillId="0" borderId="5" xfId="0" applyNumberFormat="1" applyFont="1" applyBorder="1">
      <alignment vertical="center"/>
    </xf>
    <xf numFmtId="41" fontId="9" fillId="0" borderId="3" xfId="0" applyNumberFormat="1" applyFont="1" applyBorder="1">
      <alignment vertical="center"/>
    </xf>
    <xf numFmtId="0" fontId="17" fillId="0" borderId="3" xfId="0" applyFont="1" applyBorder="1" applyAlignment="1">
      <alignment vertical="top" wrapText="1"/>
    </xf>
    <xf numFmtId="41" fontId="9" fillId="0" borderId="37" xfId="0" applyNumberFormat="1" applyFont="1" applyBorder="1" applyAlignment="1">
      <alignment horizontal="center" vertical="center"/>
    </xf>
    <xf numFmtId="41" fontId="9" fillId="0" borderId="39" xfId="0" applyNumberFormat="1" applyFont="1" applyBorder="1">
      <alignment vertical="center"/>
    </xf>
    <xf numFmtId="41" fontId="9" fillId="0" borderId="42" xfId="0" applyNumberFormat="1" applyFont="1" applyBorder="1">
      <alignment vertical="center"/>
    </xf>
    <xf numFmtId="41" fontId="9" fillId="0" borderId="44" xfId="0" applyNumberFormat="1" applyFont="1" applyBorder="1">
      <alignment vertical="center"/>
    </xf>
    <xf numFmtId="41" fontId="9" fillId="0" borderId="40" xfId="0" applyNumberFormat="1" applyFont="1" applyBorder="1">
      <alignment vertical="center"/>
    </xf>
    <xf numFmtId="41" fontId="9" fillId="0" borderId="43" xfId="0" applyNumberFormat="1" applyFont="1" applyBorder="1">
      <alignment vertical="center"/>
    </xf>
    <xf numFmtId="41" fontId="9" fillId="0" borderId="45" xfId="0" applyNumberFormat="1" applyFont="1" applyBorder="1">
      <alignment vertical="center"/>
    </xf>
    <xf numFmtId="178" fontId="9" fillId="4" borderId="26" xfId="0" applyNumberFormat="1" applyFont="1" applyFill="1" applyBorder="1" applyAlignment="1">
      <alignment horizontal="center" vertical="center"/>
    </xf>
    <xf numFmtId="178" fontId="9" fillId="4" borderId="27" xfId="0" applyNumberFormat="1" applyFont="1" applyFill="1" applyBorder="1" applyAlignment="1">
      <alignment horizontal="center" vertical="center"/>
    </xf>
    <xf numFmtId="178" fontId="9" fillId="4" borderId="28" xfId="0" applyNumberFormat="1" applyFont="1" applyFill="1" applyBorder="1" applyAlignment="1">
      <alignment horizontal="center" vertical="center"/>
    </xf>
    <xf numFmtId="49" fontId="9" fillId="0" borderId="3" xfId="0" applyNumberFormat="1" applyFont="1" applyBorder="1" applyAlignment="1">
      <alignment horizontal="left" vertical="center"/>
    </xf>
    <xf numFmtId="49" fontId="9" fillId="0" borderId="26" xfId="0" applyNumberFormat="1" applyFont="1" applyBorder="1" applyAlignment="1">
      <alignment horizontal="center" vertical="center"/>
    </xf>
    <xf numFmtId="49" fontId="9" fillId="0" borderId="27" xfId="0" applyNumberFormat="1" applyFont="1" applyBorder="1" applyAlignment="1">
      <alignment horizontal="center" vertical="center"/>
    </xf>
    <xf numFmtId="49" fontId="9" fillId="0" borderId="28" xfId="0" applyNumberFormat="1" applyFont="1" applyBorder="1" applyAlignment="1">
      <alignment horizontal="center" vertical="center"/>
    </xf>
    <xf numFmtId="38" fontId="9" fillId="4" borderId="4" xfId="1" applyFont="1" applyFill="1" applyBorder="1" applyAlignment="1" applyProtection="1">
      <alignment horizontal="center" vertical="center"/>
    </xf>
    <xf numFmtId="38" fontId="9" fillId="4" borderId="5" xfId="1" applyFont="1" applyFill="1" applyBorder="1" applyAlignment="1" applyProtection="1">
      <alignment horizontal="center" vertical="center"/>
    </xf>
    <xf numFmtId="178" fontId="9" fillId="4" borderId="11" xfId="1" applyNumberFormat="1" applyFont="1" applyFill="1" applyBorder="1" applyAlignment="1" applyProtection="1">
      <alignment horizontal="center" vertical="center"/>
    </xf>
    <xf numFmtId="178" fontId="9" fillId="4" borderId="3" xfId="0" applyNumberFormat="1" applyFont="1" applyFill="1" applyBorder="1" applyAlignment="1">
      <alignment horizontal="center" vertical="center"/>
    </xf>
    <xf numFmtId="178" fontId="9" fillId="4" borderId="29" xfId="0" applyNumberFormat="1" applyFont="1" applyFill="1" applyBorder="1" applyAlignment="1">
      <alignment horizontal="center" vertical="center"/>
    </xf>
    <xf numFmtId="0" fontId="16" fillId="0" borderId="4" xfId="0" applyFont="1" applyBorder="1" applyAlignment="1">
      <alignment horizontal="left" vertical="center"/>
    </xf>
    <xf numFmtId="0" fontId="17" fillId="0" borderId="30" xfId="0" applyFont="1" applyBorder="1" applyAlignment="1">
      <alignment horizontal="left" vertical="center"/>
    </xf>
    <xf numFmtId="0" fontId="17" fillId="0" borderId="31" xfId="0" applyFont="1" applyBorder="1" applyAlignment="1">
      <alignment horizontal="left" vertical="center"/>
    </xf>
    <xf numFmtId="178" fontId="9" fillId="4" borderId="3" xfId="1" applyNumberFormat="1" applyFont="1" applyFill="1" applyBorder="1" applyAlignment="1" applyProtection="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4" borderId="16" xfId="0" applyNumberFormat="1"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6" fontId="9" fillId="5" borderId="3" xfId="3"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0" fontId="9" fillId="5" borderId="7"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0" borderId="13" xfId="0" applyFont="1" applyBorder="1" applyAlignment="1">
      <alignment horizontal="center" vertical="center"/>
    </xf>
    <xf numFmtId="38" fontId="9" fillId="0" borderId="0" xfId="0" applyNumberFormat="1" applyFont="1" applyAlignment="1">
      <alignment horizontal="center" vertical="center"/>
    </xf>
    <xf numFmtId="1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6" fillId="4" borderId="2" xfId="2" applyFont="1" applyFill="1" applyBorder="1" applyAlignment="1">
      <alignment horizontal="left" vertical="center"/>
    </xf>
    <xf numFmtId="0" fontId="9" fillId="0" borderId="3" xfId="0" applyFont="1" applyBorder="1" applyAlignment="1">
      <alignment horizontal="center" vertical="center" wrapText="1"/>
    </xf>
    <xf numFmtId="0" fontId="15" fillId="0" borderId="0" xfId="2" applyFont="1" applyAlignment="1">
      <alignment horizontal="center" vertical="center" wrapText="1"/>
    </xf>
    <xf numFmtId="0" fontId="24" fillId="5" borderId="6"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0" fontId="24" fillId="5" borderId="0" xfId="0" applyFont="1" applyFill="1" applyAlignment="1" applyProtection="1">
      <alignment horizontal="center" vertical="center" wrapText="1"/>
      <protection locked="0"/>
    </xf>
    <xf numFmtId="0" fontId="24" fillId="5" borderId="14" xfId="0" applyFont="1" applyFill="1" applyBorder="1" applyAlignment="1" applyProtection="1">
      <alignment horizontal="center" vertical="center" wrapText="1"/>
      <protection locked="0"/>
    </xf>
    <xf numFmtId="0" fontId="24" fillId="5" borderId="9"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10" xfId="0" applyFont="1" applyFill="1" applyBorder="1" applyAlignment="1" applyProtection="1">
      <alignment horizontal="center" vertical="center" wrapText="1"/>
      <protection locked="0"/>
    </xf>
    <xf numFmtId="6" fontId="24" fillId="5" borderId="6" xfId="3" applyFont="1" applyFill="1" applyBorder="1" applyAlignment="1" applyProtection="1">
      <alignment horizontal="center" vertical="center"/>
      <protection locked="0"/>
    </xf>
    <xf numFmtId="6" fontId="24" fillId="5" borderId="7" xfId="3" applyFont="1" applyFill="1" applyBorder="1" applyAlignment="1" applyProtection="1">
      <alignment horizontal="center" vertical="center"/>
      <protection locked="0"/>
    </xf>
    <xf numFmtId="6" fontId="24" fillId="5" borderId="8" xfId="3" applyFont="1" applyFill="1" applyBorder="1" applyAlignment="1" applyProtection="1">
      <alignment horizontal="center" vertical="center"/>
      <protection locked="0"/>
    </xf>
    <xf numFmtId="6" fontId="24" fillId="5" borderId="13" xfId="3" applyFont="1" applyFill="1" applyBorder="1" applyAlignment="1" applyProtection="1">
      <alignment horizontal="center" vertical="center"/>
      <protection locked="0"/>
    </xf>
    <xf numFmtId="6" fontId="24" fillId="5" borderId="0" xfId="3" applyFont="1" applyFill="1" applyBorder="1" applyAlignment="1" applyProtection="1">
      <alignment horizontal="center" vertical="center"/>
      <protection locked="0"/>
    </xf>
    <xf numFmtId="6" fontId="24" fillId="5" borderId="14" xfId="3" applyFont="1" applyFill="1" applyBorder="1" applyAlignment="1" applyProtection="1">
      <alignment horizontal="center" vertical="center"/>
      <protection locked="0"/>
    </xf>
    <xf numFmtId="6" fontId="24" fillId="5" borderId="9" xfId="3" applyFont="1" applyFill="1" applyBorder="1" applyAlignment="1" applyProtection="1">
      <alignment horizontal="center" vertical="center"/>
      <protection locked="0"/>
    </xf>
    <xf numFmtId="6" fontId="24" fillId="5" borderId="1" xfId="3" applyFont="1" applyFill="1" applyBorder="1" applyAlignment="1" applyProtection="1">
      <alignment horizontal="center" vertical="center"/>
      <protection locked="0"/>
    </xf>
    <xf numFmtId="6" fontId="24" fillId="5" borderId="10" xfId="3" applyFont="1" applyFill="1" applyBorder="1" applyAlignment="1" applyProtection="1">
      <alignment horizontal="center" vertical="center"/>
      <protection locked="0"/>
    </xf>
    <xf numFmtId="0" fontId="9" fillId="5" borderId="0" xfId="0" applyFont="1" applyFill="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3" fillId="4" borderId="3" xfId="2" applyFill="1" applyBorder="1" applyAlignment="1">
      <alignment horizontal="center" vertical="center"/>
    </xf>
    <xf numFmtId="0" fontId="23" fillId="5" borderId="6"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8" xfId="0" applyFont="1" applyFill="1" applyBorder="1" applyAlignment="1" applyProtection="1">
      <alignment horizontal="center" vertical="center" wrapText="1"/>
      <protection locked="0"/>
    </xf>
    <xf numFmtId="0" fontId="23" fillId="5" borderId="13" xfId="0" applyFont="1" applyFill="1" applyBorder="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23" fillId="5" borderId="14" xfId="0" applyFont="1" applyFill="1" applyBorder="1" applyAlignment="1" applyProtection="1">
      <alignment horizontal="center" vertical="center" wrapText="1"/>
      <protection locked="0"/>
    </xf>
    <xf numFmtId="0" fontId="23" fillId="5" borderId="9" xfId="0" applyFont="1" applyFill="1" applyBorder="1" applyAlignment="1" applyProtection="1">
      <alignment horizontal="center" vertical="center" wrapText="1"/>
      <protection locked="0"/>
    </xf>
    <xf numFmtId="0" fontId="23" fillId="5" borderId="1" xfId="0" applyFont="1" applyFill="1" applyBorder="1" applyAlignment="1" applyProtection="1">
      <alignment horizontal="center" vertical="center" wrapText="1"/>
      <protection locked="0"/>
    </xf>
    <xf numFmtId="0" fontId="23" fillId="5" borderId="10" xfId="0" applyFont="1" applyFill="1" applyBorder="1" applyAlignment="1" applyProtection="1">
      <alignment horizontal="center" vertical="center" wrapText="1"/>
      <protection locked="0"/>
    </xf>
    <xf numFmtId="49" fontId="24" fillId="5" borderId="6" xfId="0" applyNumberFormat="1" applyFont="1" applyFill="1" applyBorder="1" applyAlignment="1" applyProtection="1">
      <alignment horizontal="center" vertical="center" wrapText="1"/>
      <protection locked="0"/>
    </xf>
    <xf numFmtId="49" fontId="24" fillId="5" borderId="7" xfId="0" applyNumberFormat="1" applyFont="1" applyFill="1" applyBorder="1" applyAlignment="1" applyProtection="1">
      <alignment horizontal="center" vertical="center" wrapText="1"/>
      <protection locked="0"/>
    </xf>
    <xf numFmtId="49" fontId="24" fillId="5" borderId="8" xfId="0" applyNumberFormat="1" applyFont="1" applyFill="1" applyBorder="1" applyAlignment="1" applyProtection="1">
      <alignment horizontal="center" vertical="center" wrapText="1"/>
      <protection locked="0"/>
    </xf>
    <xf numFmtId="49" fontId="24" fillId="5" borderId="13" xfId="0" applyNumberFormat="1" applyFont="1" applyFill="1" applyBorder="1" applyAlignment="1" applyProtection="1">
      <alignment horizontal="center" vertical="center" wrapText="1"/>
      <protection locked="0"/>
    </xf>
    <xf numFmtId="49" fontId="24" fillId="5" borderId="0" xfId="0" applyNumberFormat="1" applyFont="1" applyFill="1" applyAlignment="1" applyProtection="1">
      <alignment horizontal="center" vertical="center" wrapText="1"/>
      <protection locked="0"/>
    </xf>
    <xf numFmtId="49" fontId="24" fillId="5" borderId="14" xfId="0" applyNumberFormat="1" applyFont="1" applyFill="1" applyBorder="1" applyAlignment="1" applyProtection="1">
      <alignment horizontal="center" vertical="center" wrapText="1"/>
      <protection locked="0"/>
    </xf>
    <xf numFmtId="49" fontId="24" fillId="5" borderId="9" xfId="0" applyNumberFormat="1" applyFont="1" applyFill="1" applyBorder="1" applyAlignment="1" applyProtection="1">
      <alignment horizontal="center" vertical="center" wrapText="1"/>
      <protection locked="0"/>
    </xf>
    <xf numFmtId="49" fontId="24" fillId="5" borderId="1" xfId="0" applyNumberFormat="1" applyFont="1" applyFill="1" applyBorder="1" applyAlignment="1" applyProtection="1">
      <alignment horizontal="center" vertical="center" wrapText="1"/>
      <protection locked="0"/>
    </xf>
    <xf numFmtId="49" fontId="24" fillId="5" borderId="10" xfId="0" applyNumberFormat="1" applyFont="1" applyFill="1" applyBorder="1" applyAlignment="1" applyProtection="1">
      <alignment horizontal="center" vertical="center" wrapText="1"/>
      <protection locked="0"/>
    </xf>
    <xf numFmtId="6" fontId="9" fillId="4" borderId="6" xfId="3" applyFont="1" applyFill="1" applyBorder="1" applyAlignment="1" applyProtection="1">
      <alignment horizontal="center" vertical="center"/>
    </xf>
    <xf numFmtId="6" fontId="9" fillId="4" borderId="7" xfId="3" applyFont="1" applyFill="1" applyBorder="1" applyAlignment="1" applyProtection="1">
      <alignment horizontal="center" vertical="center"/>
    </xf>
    <xf numFmtId="6" fontId="9" fillId="4" borderId="8" xfId="3" applyFont="1" applyFill="1" applyBorder="1" applyAlignment="1" applyProtection="1">
      <alignment horizontal="center" vertical="center"/>
    </xf>
    <xf numFmtId="6" fontId="9" fillId="4" borderId="13" xfId="3" applyFont="1" applyFill="1" applyBorder="1" applyAlignment="1" applyProtection="1">
      <alignment horizontal="center" vertical="center"/>
    </xf>
    <xf numFmtId="6" fontId="9" fillId="4" borderId="0" xfId="3" applyFont="1" applyFill="1" applyBorder="1" applyAlignment="1" applyProtection="1">
      <alignment horizontal="center" vertical="center"/>
    </xf>
    <xf numFmtId="6" fontId="9" fillId="4" borderId="14" xfId="3" applyFont="1" applyFill="1" applyBorder="1" applyAlignment="1" applyProtection="1">
      <alignment horizontal="center" vertical="center"/>
    </xf>
    <xf numFmtId="6" fontId="9" fillId="4" borderId="9" xfId="3" applyFont="1" applyFill="1" applyBorder="1" applyAlignment="1" applyProtection="1">
      <alignment horizontal="center" vertical="center"/>
    </xf>
    <xf numFmtId="6" fontId="9" fillId="4" borderId="1" xfId="3" applyFont="1" applyFill="1" applyBorder="1" applyAlignment="1" applyProtection="1">
      <alignment horizontal="center" vertical="center"/>
    </xf>
    <xf numFmtId="6" fontId="9" fillId="4" borderId="10" xfId="3" applyFont="1" applyFill="1" applyBorder="1" applyAlignment="1" applyProtection="1">
      <alignment horizontal="center" vertical="center"/>
    </xf>
    <xf numFmtId="0" fontId="24" fillId="5" borderId="6" xfId="0" applyFont="1" applyFill="1" applyBorder="1" applyAlignment="1" applyProtection="1">
      <alignment horizontal="center" vertical="center"/>
      <protection locked="0"/>
    </xf>
    <xf numFmtId="0" fontId="24" fillId="5" borderId="7"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24" fillId="5" borderId="13" xfId="0" applyFont="1" applyFill="1" applyBorder="1" applyAlignment="1" applyProtection="1">
      <alignment horizontal="center" vertical="center"/>
      <protection locked="0"/>
    </xf>
    <xf numFmtId="0" fontId="24" fillId="5" borderId="0" xfId="0" applyFont="1" applyFill="1" applyAlignment="1" applyProtection="1">
      <alignment horizontal="center" vertical="center"/>
      <protection locked="0"/>
    </xf>
    <xf numFmtId="0" fontId="24" fillId="5" borderId="14"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4" fillId="5" borderId="1" xfId="0" applyFont="1" applyFill="1" applyBorder="1" applyAlignment="1" applyProtection="1">
      <alignment horizontal="center" vertical="center"/>
      <protection locked="0"/>
    </xf>
    <xf numFmtId="0" fontId="24" fillId="5" borderId="10"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16" fillId="4" borderId="2" xfId="0" applyFont="1" applyFill="1" applyBorder="1" applyAlignment="1">
      <alignment horizontal="right" vertical="center"/>
    </xf>
    <xf numFmtId="14" fontId="16" fillId="4" borderId="2" xfId="0" applyNumberFormat="1" applyFont="1" applyFill="1" applyBorder="1" applyAlignment="1">
      <alignment horizontal="left" vertical="center"/>
    </xf>
    <xf numFmtId="0" fontId="16" fillId="4" borderId="2" xfId="0" applyFont="1" applyFill="1" applyBorder="1" applyAlignment="1">
      <alignment horizontal="left" vertical="center"/>
    </xf>
    <xf numFmtId="9" fontId="11" fillId="5" borderId="3" xfId="0" applyNumberFormat="1" applyFont="1" applyFill="1" applyBorder="1" applyAlignment="1" applyProtection="1">
      <alignment horizontal="right" vertical="center" wrapText="1"/>
      <protection locked="0"/>
    </xf>
    <xf numFmtId="0" fontId="24" fillId="5" borderId="3" xfId="0" applyFont="1" applyFill="1" applyBorder="1" applyAlignment="1" applyProtection="1">
      <alignment horizontal="center" vertical="center" wrapText="1"/>
      <protection locked="0"/>
    </xf>
    <xf numFmtId="9" fontId="25" fillId="5" borderId="3" xfId="0" applyNumberFormat="1" applyFont="1" applyFill="1" applyBorder="1" applyAlignment="1" applyProtection="1">
      <alignment horizontal="right" vertical="center" wrapText="1"/>
      <protection locked="0"/>
    </xf>
    <xf numFmtId="38" fontId="9" fillId="4" borderId="3" xfId="0" applyNumberFormat="1" applyFont="1" applyFill="1" applyBorder="1" applyAlignment="1">
      <alignment horizontal="center" vertical="center"/>
    </xf>
    <xf numFmtId="38"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0" borderId="7" xfId="0" applyFont="1" applyBorder="1" applyAlignment="1">
      <alignment horizontal="center" vertical="center" wrapText="1"/>
    </xf>
    <xf numFmtId="176" fontId="9" fillId="4" borderId="3" xfId="3" applyNumberFormat="1" applyFont="1" applyFill="1" applyBorder="1" applyAlignment="1" applyProtection="1">
      <alignment horizontal="right" vertical="center"/>
    </xf>
    <xf numFmtId="176" fontId="9" fillId="0" borderId="2" xfId="3" applyNumberFormat="1" applyFont="1" applyFill="1" applyBorder="1" applyAlignment="1" applyProtection="1">
      <alignment horizontal="center" vertical="center"/>
    </xf>
    <xf numFmtId="176" fontId="9" fillId="0" borderId="2" xfId="3" applyNumberFormat="1" applyFont="1" applyFill="1" applyBorder="1" applyAlignment="1" applyProtection="1">
      <alignment horizontal="left" vertical="center"/>
    </xf>
    <xf numFmtId="176" fontId="9" fillId="0" borderId="5" xfId="3" applyNumberFormat="1" applyFont="1" applyFill="1" applyBorder="1" applyAlignment="1" applyProtection="1">
      <alignment horizontal="left" vertical="center"/>
    </xf>
    <xf numFmtId="176" fontId="9" fillId="4" borderId="3" xfId="3" applyNumberFormat="1" applyFont="1" applyFill="1" applyBorder="1" applyAlignment="1" applyProtection="1">
      <alignment horizontal="center" vertical="center"/>
    </xf>
    <xf numFmtId="176" fontId="9" fillId="0" borderId="4" xfId="3" applyNumberFormat="1" applyFont="1" applyFill="1" applyBorder="1" applyAlignment="1" applyProtection="1">
      <alignment horizontal="right" vertical="center"/>
    </xf>
    <xf numFmtId="176" fontId="9" fillId="0" borderId="2" xfId="3" applyNumberFormat="1" applyFont="1" applyFill="1" applyBorder="1" applyAlignment="1" applyProtection="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177" fontId="11" fillId="4" borderId="3" xfId="0" applyNumberFormat="1" applyFont="1" applyFill="1" applyBorder="1" applyAlignment="1">
      <alignment horizontal="right" vertical="center"/>
    </xf>
    <xf numFmtId="176" fontId="9" fillId="4" borderId="4" xfId="3" applyNumberFormat="1" applyFont="1" applyFill="1" applyBorder="1" applyAlignment="1" applyProtection="1">
      <alignment horizontal="center" vertical="center"/>
    </xf>
    <xf numFmtId="176" fontId="9" fillId="4" borderId="2" xfId="3" applyNumberFormat="1" applyFont="1" applyFill="1" applyBorder="1" applyAlignment="1" applyProtection="1">
      <alignment horizontal="center" vertical="center"/>
    </xf>
    <xf numFmtId="176" fontId="9" fillId="0" borderId="3" xfId="3" applyNumberFormat="1" applyFont="1" applyFill="1" applyBorder="1" applyAlignment="1" applyProtection="1">
      <alignment horizontal="center" vertical="center"/>
    </xf>
    <xf numFmtId="5" fontId="9" fillId="4" borderId="3" xfId="3" applyNumberFormat="1" applyFont="1" applyFill="1" applyBorder="1" applyAlignment="1" applyProtection="1">
      <alignment horizontal="center" vertical="center"/>
    </xf>
    <xf numFmtId="0" fontId="9" fillId="0" borderId="35" xfId="0" applyFont="1" applyBorder="1" applyAlignment="1">
      <alignment horizontal="center" vertical="center"/>
    </xf>
    <xf numFmtId="0" fontId="9" fillId="0" borderId="47" xfId="0" applyFont="1" applyBorder="1" applyAlignment="1">
      <alignment horizontal="center" vertical="center" wrapText="1"/>
    </xf>
    <xf numFmtId="0" fontId="9" fillId="0" borderId="46" xfId="0" applyFont="1" applyBorder="1" applyAlignment="1">
      <alignment horizontal="center" vertical="center"/>
    </xf>
    <xf numFmtId="0" fontId="9" fillId="0" borderId="37" xfId="0" applyFont="1" applyBorder="1" applyAlignment="1">
      <alignment horizontal="center" vertical="center" wrapText="1"/>
    </xf>
    <xf numFmtId="0" fontId="9" fillId="0" borderId="8" xfId="0" applyFont="1" applyBorder="1" applyAlignment="1">
      <alignment horizontal="center" vertical="center" wrapText="1"/>
    </xf>
    <xf numFmtId="6" fontId="9" fillId="0" borderId="3" xfId="3" applyFont="1" applyFill="1" applyBorder="1" applyAlignment="1" applyProtection="1">
      <alignment horizontal="center" vertical="center"/>
    </xf>
    <xf numFmtId="176" fontId="9" fillId="4" borderId="4" xfId="3" applyNumberFormat="1" applyFont="1" applyFill="1" applyBorder="1" applyAlignment="1" applyProtection="1">
      <alignment horizontal="right" vertical="center"/>
    </xf>
    <xf numFmtId="176" fontId="9" fillId="4" borderId="2" xfId="3" applyNumberFormat="1" applyFont="1" applyFill="1" applyBorder="1" applyAlignment="1" applyProtection="1">
      <alignment horizontal="right" vertical="center"/>
    </xf>
    <xf numFmtId="176" fontId="9" fillId="4" borderId="5" xfId="3" applyNumberFormat="1" applyFont="1" applyFill="1" applyBorder="1" applyAlignment="1" applyProtection="1">
      <alignment horizontal="center" vertical="center"/>
    </xf>
  </cellXfs>
  <cellStyles count="4">
    <cellStyle name="桁区切り" xfId="1" builtinId="6"/>
    <cellStyle name="通貨" xfId="3" builtinId="7"/>
    <cellStyle name="標準" xfId="0" builtinId="0"/>
    <cellStyle name="標準 2" xfId="2" xr:uid="{00000000-0005-0000-0000-000003000000}"/>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301625</xdr:colOff>
      <xdr:row>8</xdr:row>
      <xdr:rowOff>50800</xdr:rowOff>
    </xdr:from>
    <xdr:to>
      <xdr:col>30</xdr:col>
      <xdr:colOff>4052094</xdr:colOff>
      <xdr:row>10</xdr:row>
      <xdr:rowOff>98954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588250" y="2127250"/>
          <a:ext cx="3750469" cy="619654"/>
        </a:xfrm>
        <a:prstGeom prst="wedgeRoundRectCallout">
          <a:avLst>
            <a:gd name="adj1" fmla="val -48726"/>
            <a:gd name="adj2" fmla="val 9458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381000</xdr:colOff>
      <xdr:row>4</xdr:row>
      <xdr:rowOff>296334</xdr:rowOff>
    </xdr:from>
    <xdr:to>
      <xdr:col>46</xdr:col>
      <xdr:colOff>164042</xdr:colOff>
      <xdr:row>5</xdr:row>
      <xdr:rowOff>326572</xdr:rowOff>
    </xdr:to>
    <xdr:sp macro="" textlink="">
      <xdr:nvSpPr>
        <xdr:cNvPr id="8" name="角丸四角形吹き出し 1">
          <a:extLst>
            <a:ext uri="{FF2B5EF4-FFF2-40B4-BE49-F238E27FC236}">
              <a16:creationId xmlns:a16="http://schemas.microsoft.com/office/drawing/2014/main" id="{38A324A9-E222-473B-8B07-DE71F6ABCC64}"/>
            </a:ext>
          </a:extLst>
        </xdr:cNvPr>
        <xdr:cNvSpPr/>
      </xdr:nvSpPr>
      <xdr:spPr>
        <a:xfrm>
          <a:off x="16706850" y="1125009"/>
          <a:ext cx="2783417" cy="354088"/>
        </a:xfrm>
        <a:prstGeom prst="wedgeRoundRectCallout">
          <a:avLst>
            <a:gd name="adj1" fmla="val -54178"/>
            <a:gd name="adj2" fmla="val -1469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41</xdr:col>
      <xdr:colOff>407305</xdr:colOff>
      <xdr:row>0</xdr:row>
      <xdr:rowOff>171450</xdr:rowOff>
    </xdr:from>
    <xdr:to>
      <xdr:col>46</xdr:col>
      <xdr:colOff>291041</xdr:colOff>
      <xdr:row>3</xdr:row>
      <xdr:rowOff>136071</xdr:rowOff>
    </xdr:to>
    <xdr:sp macro="" textlink="">
      <xdr:nvSpPr>
        <xdr:cNvPr id="9" name="角丸四角形吹き出し 3">
          <a:extLst>
            <a:ext uri="{FF2B5EF4-FFF2-40B4-BE49-F238E27FC236}">
              <a16:creationId xmlns:a16="http://schemas.microsoft.com/office/drawing/2014/main" id="{287286C0-9FC2-49B4-8EC5-288E0B73FE31}"/>
            </a:ext>
          </a:extLst>
        </xdr:cNvPr>
        <xdr:cNvSpPr/>
      </xdr:nvSpPr>
      <xdr:spPr>
        <a:xfrm>
          <a:off x="16733155" y="171450"/>
          <a:ext cx="2884111" cy="536121"/>
        </a:xfrm>
        <a:prstGeom prst="wedgeRoundRectCallout">
          <a:avLst>
            <a:gd name="adj1" fmla="val -54852"/>
            <a:gd name="adj2" fmla="val -235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整理番号を入力し、</a:t>
          </a:r>
          <a:endParaRPr kumimoji="1" lang="en-US" altLang="ja-JP" sz="1100"/>
        </a:p>
        <a:p>
          <a:pPr algn="l"/>
          <a:r>
            <a:rPr kumimoji="1" lang="ja-JP" altLang="en-US" sz="1100"/>
            <a:t>該当する項目を選択して■を表示してください</a:t>
          </a:r>
        </a:p>
      </xdr:txBody>
    </xdr:sp>
    <xdr:clientData/>
  </xdr:twoCellAnchor>
  <xdr:twoCellAnchor>
    <xdr:from>
      <xdr:col>41</xdr:col>
      <xdr:colOff>462942</xdr:colOff>
      <xdr:row>34</xdr:row>
      <xdr:rowOff>20258</xdr:rowOff>
    </xdr:from>
    <xdr:to>
      <xdr:col>51</xdr:col>
      <xdr:colOff>547309</xdr:colOff>
      <xdr:row>38</xdr:row>
      <xdr:rowOff>175985</xdr:rowOff>
    </xdr:to>
    <xdr:sp macro="" textlink="">
      <xdr:nvSpPr>
        <xdr:cNvPr id="10" name="角丸四角形吹き出し 4">
          <a:extLst>
            <a:ext uri="{FF2B5EF4-FFF2-40B4-BE49-F238E27FC236}">
              <a16:creationId xmlns:a16="http://schemas.microsoft.com/office/drawing/2014/main" id="{737BA1A9-314C-45AE-856C-0F2A2F3EAEE4}"/>
            </a:ext>
          </a:extLst>
        </xdr:cNvPr>
        <xdr:cNvSpPr/>
      </xdr:nvSpPr>
      <xdr:spPr>
        <a:xfrm>
          <a:off x="16788792" y="6963983"/>
          <a:ext cx="6085117" cy="965352"/>
        </a:xfrm>
        <a:prstGeom prst="wedgeRoundRectCallout">
          <a:avLst>
            <a:gd name="adj1" fmla="val -53058"/>
            <a:gd name="adj2" fmla="val -2198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必要資材を当院で購入し、その購入実績に応じて費用を支払う場合は、こちらに■を変えてください。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41</xdr:col>
      <xdr:colOff>528862</xdr:colOff>
      <xdr:row>80</xdr:row>
      <xdr:rowOff>4988</xdr:rowOff>
    </xdr:from>
    <xdr:to>
      <xdr:col>46</xdr:col>
      <xdr:colOff>331559</xdr:colOff>
      <xdr:row>85</xdr:row>
      <xdr:rowOff>26760</xdr:rowOff>
    </xdr:to>
    <xdr:sp macro="" textlink="">
      <xdr:nvSpPr>
        <xdr:cNvPr id="11" name="角丸四角形吹き出し 5">
          <a:extLst>
            <a:ext uri="{FF2B5EF4-FFF2-40B4-BE49-F238E27FC236}">
              <a16:creationId xmlns:a16="http://schemas.microsoft.com/office/drawing/2014/main" id="{2DF0316E-2246-4FD0-AC07-5ADE78CFCAD2}"/>
            </a:ext>
          </a:extLst>
        </xdr:cNvPr>
        <xdr:cNvSpPr/>
      </xdr:nvSpPr>
      <xdr:spPr>
        <a:xfrm>
          <a:off x="16854712" y="13749563"/>
          <a:ext cx="2803072" cy="659947"/>
        </a:xfrm>
        <a:prstGeom prst="wedgeRoundRectCallout">
          <a:avLst>
            <a:gd name="adj1" fmla="val -56967"/>
            <a:gd name="adj2" fmla="val -1419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41</xdr:col>
      <xdr:colOff>406702</xdr:colOff>
      <xdr:row>10</xdr:row>
      <xdr:rowOff>906</xdr:rowOff>
    </xdr:from>
    <xdr:to>
      <xdr:col>49</xdr:col>
      <xdr:colOff>580873</xdr:colOff>
      <xdr:row>11</xdr:row>
      <xdr:rowOff>135063</xdr:rowOff>
    </xdr:to>
    <xdr:sp macro="" textlink="">
      <xdr:nvSpPr>
        <xdr:cNvPr id="12" name="角丸四角形吹き出し 4">
          <a:extLst>
            <a:ext uri="{FF2B5EF4-FFF2-40B4-BE49-F238E27FC236}">
              <a16:creationId xmlns:a16="http://schemas.microsoft.com/office/drawing/2014/main" id="{F1749055-5AC5-4976-9471-C6250E260AAC}"/>
            </a:ext>
          </a:extLst>
        </xdr:cNvPr>
        <xdr:cNvSpPr/>
      </xdr:nvSpPr>
      <xdr:spPr>
        <a:xfrm>
          <a:off x="16732552" y="2258331"/>
          <a:ext cx="4974771" cy="305607"/>
        </a:xfrm>
        <a:prstGeom prst="wedgeRoundRectCallout">
          <a:avLst>
            <a:gd name="adj1" fmla="val -53037"/>
            <a:gd name="adj2" fmla="val -1903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セントラル</a:t>
          </a:r>
          <a:r>
            <a:rPr kumimoji="1" lang="en-US" altLang="ja-JP" sz="1100"/>
            <a:t>IRB</a:t>
          </a:r>
          <a:r>
            <a:rPr kumimoji="1" lang="ja-JP" altLang="en-US" sz="1100"/>
            <a:t>を利用される場合は、［外部</a:t>
          </a:r>
          <a:r>
            <a:rPr kumimoji="1" lang="en-US" altLang="ja-JP" sz="1100"/>
            <a:t>IRB</a:t>
          </a:r>
          <a:r>
            <a:rPr kumimoji="1" lang="ja-JP" altLang="en-US" sz="1100"/>
            <a:t>に審査を委託］を■に変えてください。</a:t>
          </a:r>
        </a:p>
      </xdr:txBody>
    </xdr:sp>
    <xdr:clientData/>
  </xdr:twoCellAnchor>
  <xdr:twoCellAnchor>
    <xdr:from>
      <xdr:col>41</xdr:col>
      <xdr:colOff>388562</xdr:colOff>
      <xdr:row>19</xdr:row>
      <xdr:rowOff>906</xdr:rowOff>
    </xdr:from>
    <xdr:to>
      <xdr:col>49</xdr:col>
      <xdr:colOff>568377</xdr:colOff>
      <xdr:row>20</xdr:row>
      <xdr:rowOff>131635</xdr:rowOff>
    </xdr:to>
    <xdr:sp macro="" textlink="">
      <xdr:nvSpPr>
        <xdr:cNvPr id="13" name="角丸四角形吹き出し 4">
          <a:extLst>
            <a:ext uri="{FF2B5EF4-FFF2-40B4-BE49-F238E27FC236}">
              <a16:creationId xmlns:a16="http://schemas.microsoft.com/office/drawing/2014/main" id="{7B949161-AF30-4511-B009-1562B3F8E6E0}"/>
            </a:ext>
          </a:extLst>
        </xdr:cNvPr>
        <xdr:cNvSpPr/>
      </xdr:nvSpPr>
      <xdr:spPr>
        <a:xfrm>
          <a:off x="16714412" y="3801381"/>
          <a:ext cx="4980415" cy="302179"/>
        </a:xfrm>
        <a:prstGeom prst="wedgeRoundRectCallout">
          <a:avLst>
            <a:gd name="adj1" fmla="val -52532"/>
            <a:gd name="adj2" fmla="val -148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治験事務局業務を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458712</xdr:colOff>
      <xdr:row>27</xdr:row>
      <xdr:rowOff>53371</xdr:rowOff>
    </xdr:from>
    <xdr:to>
      <xdr:col>49</xdr:col>
      <xdr:colOff>172860</xdr:colOff>
      <xdr:row>28</xdr:row>
      <xdr:rowOff>66977</xdr:rowOff>
    </xdr:to>
    <xdr:sp macro="" textlink="">
      <xdr:nvSpPr>
        <xdr:cNvPr id="14" name="角丸四角形吹き出し 4">
          <a:extLst>
            <a:ext uri="{FF2B5EF4-FFF2-40B4-BE49-F238E27FC236}">
              <a16:creationId xmlns:a16="http://schemas.microsoft.com/office/drawing/2014/main" id="{82D90CAB-AEBA-4545-986B-D0FF0B929B87}"/>
            </a:ext>
          </a:extLst>
        </xdr:cNvPr>
        <xdr:cNvSpPr/>
      </xdr:nvSpPr>
      <xdr:spPr>
        <a:xfrm>
          <a:off x="16784562" y="5406421"/>
          <a:ext cx="4514748" cy="366031"/>
        </a:xfrm>
        <a:prstGeom prst="wedgeRoundRectCallout">
          <a:avLst>
            <a:gd name="adj1" fmla="val -53388"/>
            <a:gd name="adj2" fmla="val -2276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CRC</a:t>
          </a:r>
          <a:r>
            <a:rPr kumimoji="1" lang="ja-JP" altLang="en-US" sz="1100"/>
            <a:t>業務を</a:t>
          </a:r>
          <a:r>
            <a:rPr kumimoji="1" lang="en-US" altLang="ja-JP" sz="1100"/>
            <a:t>SMO</a:t>
          </a:r>
          <a:r>
            <a:rPr kumimoji="1" lang="ja-JP" altLang="en-US" sz="1100"/>
            <a:t>に委託する場合は、［</a:t>
          </a:r>
          <a:r>
            <a:rPr kumimoji="1" lang="en-US" altLang="ja-JP" sz="1100"/>
            <a:t>SMO</a:t>
          </a:r>
          <a:r>
            <a:rPr kumimoji="1" lang="ja-JP" altLang="en-US" sz="1100"/>
            <a:t>委託あり］を</a:t>
          </a:r>
          <a:r>
            <a:rPr kumimoji="1" lang="ja-JP" altLang="ja-JP" sz="1100">
              <a:solidFill>
                <a:schemeClr val="dk1"/>
              </a:solidFill>
              <a:effectLst/>
              <a:latin typeface="+mn-lt"/>
              <a:ea typeface="+mn-ea"/>
              <a:cs typeface="+mn-cs"/>
            </a:rPr>
            <a:t>■</a:t>
          </a:r>
          <a:r>
            <a:rPr kumimoji="1" lang="ja-JP" altLang="en-US" sz="1100"/>
            <a:t>に変えてください。</a:t>
          </a:r>
        </a:p>
      </xdr:txBody>
    </xdr:sp>
    <xdr:clientData/>
  </xdr:twoCellAnchor>
  <xdr:twoCellAnchor>
    <xdr:from>
      <xdr:col>41</xdr:col>
      <xdr:colOff>488346</xdr:colOff>
      <xdr:row>48</xdr:row>
      <xdr:rowOff>40820</xdr:rowOff>
    </xdr:from>
    <xdr:to>
      <xdr:col>48</xdr:col>
      <xdr:colOff>222403</xdr:colOff>
      <xdr:row>52</xdr:row>
      <xdr:rowOff>104169</xdr:rowOff>
    </xdr:to>
    <xdr:sp macro="" textlink="">
      <xdr:nvSpPr>
        <xdr:cNvPr id="15" name="角丸四角形吹き出し 6">
          <a:extLst>
            <a:ext uri="{FF2B5EF4-FFF2-40B4-BE49-F238E27FC236}">
              <a16:creationId xmlns:a16="http://schemas.microsoft.com/office/drawing/2014/main" id="{FDCF44D1-56C0-4FD9-BEDA-910FE8E77F7E}"/>
            </a:ext>
          </a:extLst>
        </xdr:cNvPr>
        <xdr:cNvSpPr/>
      </xdr:nvSpPr>
      <xdr:spPr>
        <a:xfrm>
          <a:off x="16814196" y="9375320"/>
          <a:ext cx="3934582" cy="530074"/>
        </a:xfrm>
        <a:prstGeom prst="wedgeRoundRectCallout">
          <a:avLst>
            <a:gd name="adj1" fmla="val -53843"/>
            <a:gd name="adj2" fmla="val -1959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endParaRPr kumimoji="1" lang="en-US" altLang="ja-JP" sz="1100"/>
        </a:p>
        <a:p>
          <a:pPr algn="l"/>
          <a:r>
            <a:rPr kumimoji="1" lang="ja-JP" altLang="en-US" sz="1100"/>
            <a:t>ブロック検体の場合は、必要なスライド枚数に換算してください。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10</xdr:row>
          <xdr:rowOff>0</xdr:rowOff>
        </xdr:from>
        <xdr:to>
          <xdr:col>6</xdr:col>
          <xdr:colOff>219075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xdr:row>
          <xdr:rowOff>333375</xdr:rowOff>
        </xdr:from>
        <xdr:to>
          <xdr:col>6</xdr:col>
          <xdr:colOff>219075</xdr:colOff>
          <xdr:row>12</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333375</xdr:rowOff>
        </xdr:from>
        <xdr:to>
          <xdr:col>6</xdr:col>
          <xdr:colOff>219075</xdr:colOff>
          <xdr:row>13</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333375</xdr:rowOff>
        </xdr:from>
        <xdr:to>
          <xdr:col>6</xdr:col>
          <xdr:colOff>219075</xdr:colOff>
          <xdr:row>14</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333375</xdr:rowOff>
        </xdr:from>
        <xdr:to>
          <xdr:col>6</xdr:col>
          <xdr:colOff>219075</xdr:colOff>
          <xdr:row>15</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333375</xdr:rowOff>
        </xdr:from>
        <xdr:to>
          <xdr:col>6</xdr:col>
          <xdr:colOff>219075</xdr:colOff>
          <xdr:row>16</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333375</xdr:rowOff>
        </xdr:from>
        <xdr:to>
          <xdr:col>6</xdr:col>
          <xdr:colOff>219075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333375</xdr:rowOff>
        </xdr:from>
        <xdr:to>
          <xdr:col>6</xdr:col>
          <xdr:colOff>219075</xdr:colOff>
          <xdr:row>18</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333375</xdr:rowOff>
        </xdr:from>
        <xdr:to>
          <xdr:col>6</xdr:col>
          <xdr:colOff>219075</xdr:colOff>
          <xdr:row>18</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17</xdr:row>
          <xdr:rowOff>333375</xdr:rowOff>
        </xdr:from>
        <xdr:to>
          <xdr:col>6</xdr:col>
          <xdr:colOff>219075</xdr:colOff>
          <xdr:row>19</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xdr:row>
          <xdr:rowOff>333375</xdr:rowOff>
        </xdr:from>
        <xdr:to>
          <xdr:col>6</xdr:col>
          <xdr:colOff>219075</xdr:colOff>
          <xdr:row>20</xdr:row>
          <xdr:rowOff>9525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xdr:row>
          <xdr:rowOff>333375</xdr:rowOff>
        </xdr:from>
        <xdr:to>
          <xdr:col>6</xdr:col>
          <xdr:colOff>219075</xdr:colOff>
          <xdr:row>21</xdr:row>
          <xdr:rowOff>9525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333375</xdr:rowOff>
        </xdr:from>
        <xdr:to>
          <xdr:col>6</xdr:col>
          <xdr:colOff>219075</xdr:colOff>
          <xdr:row>22</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20</xdr:row>
          <xdr:rowOff>333375</xdr:rowOff>
        </xdr:from>
        <xdr:to>
          <xdr:col>6</xdr:col>
          <xdr:colOff>219075</xdr:colOff>
          <xdr:row>22</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333375</xdr:rowOff>
        </xdr:from>
        <xdr:to>
          <xdr:col>6</xdr:col>
          <xdr:colOff>219075</xdr:colOff>
          <xdr:row>23</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333375</xdr:rowOff>
        </xdr:from>
        <xdr:to>
          <xdr:col>6</xdr:col>
          <xdr:colOff>219075</xdr:colOff>
          <xdr:row>24</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xdr:row>
          <xdr:rowOff>333375</xdr:rowOff>
        </xdr:from>
        <xdr:to>
          <xdr:col>6</xdr:col>
          <xdr:colOff>219075</xdr:colOff>
          <xdr:row>25</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333375</xdr:rowOff>
        </xdr:from>
        <xdr:to>
          <xdr:col>6</xdr:col>
          <xdr:colOff>219075</xdr:colOff>
          <xdr:row>26</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4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24</xdr:row>
          <xdr:rowOff>333375</xdr:rowOff>
        </xdr:from>
        <xdr:to>
          <xdr:col>6</xdr:col>
          <xdr:colOff>219075</xdr:colOff>
          <xdr:row>26</xdr:row>
          <xdr:rowOff>9525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25</xdr:row>
          <xdr:rowOff>333375</xdr:rowOff>
        </xdr:from>
        <xdr:to>
          <xdr:col>6</xdr:col>
          <xdr:colOff>219075</xdr:colOff>
          <xdr:row>27</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26</xdr:row>
          <xdr:rowOff>333375</xdr:rowOff>
        </xdr:from>
        <xdr:to>
          <xdr:col>6</xdr:col>
          <xdr:colOff>219075</xdr:colOff>
          <xdr:row>28</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xdr:row>
          <xdr:rowOff>333375</xdr:rowOff>
        </xdr:from>
        <xdr:to>
          <xdr:col>6</xdr:col>
          <xdr:colOff>219075</xdr:colOff>
          <xdr:row>29</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333375</xdr:rowOff>
        </xdr:from>
        <xdr:to>
          <xdr:col>6</xdr:col>
          <xdr:colOff>219075</xdr:colOff>
          <xdr:row>30</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4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xdr:row>
          <xdr:rowOff>333375</xdr:rowOff>
        </xdr:from>
        <xdr:to>
          <xdr:col>6</xdr:col>
          <xdr:colOff>219075</xdr:colOff>
          <xdr:row>30</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xdr:row>
          <xdr:rowOff>333375</xdr:rowOff>
        </xdr:from>
        <xdr:to>
          <xdr:col>6</xdr:col>
          <xdr:colOff>219075</xdr:colOff>
          <xdr:row>31</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xdr:row>
          <xdr:rowOff>333375</xdr:rowOff>
        </xdr:from>
        <xdr:to>
          <xdr:col>6</xdr:col>
          <xdr:colOff>219075</xdr:colOff>
          <xdr:row>32</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333375</xdr:rowOff>
        </xdr:from>
        <xdr:to>
          <xdr:col>6</xdr:col>
          <xdr:colOff>219075</xdr:colOff>
          <xdr:row>33</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333375</xdr:rowOff>
        </xdr:from>
        <xdr:to>
          <xdr:col>6</xdr:col>
          <xdr:colOff>219075</xdr:colOff>
          <xdr:row>34</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32</xdr:row>
          <xdr:rowOff>333375</xdr:rowOff>
        </xdr:from>
        <xdr:to>
          <xdr:col>6</xdr:col>
          <xdr:colOff>219075</xdr:colOff>
          <xdr:row>34</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33</xdr:row>
          <xdr:rowOff>333375</xdr:rowOff>
        </xdr:from>
        <xdr:to>
          <xdr:col>6</xdr:col>
          <xdr:colOff>219075</xdr:colOff>
          <xdr:row>35</xdr:row>
          <xdr:rowOff>9525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34</xdr:row>
          <xdr:rowOff>333375</xdr:rowOff>
        </xdr:from>
        <xdr:to>
          <xdr:col>6</xdr:col>
          <xdr:colOff>219075</xdr:colOff>
          <xdr:row>36</xdr:row>
          <xdr:rowOff>9525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4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35</xdr:row>
          <xdr:rowOff>333375</xdr:rowOff>
        </xdr:from>
        <xdr:to>
          <xdr:col>6</xdr:col>
          <xdr:colOff>219075</xdr:colOff>
          <xdr:row>37</xdr:row>
          <xdr:rowOff>9525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4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333375</xdr:rowOff>
        </xdr:from>
        <xdr:to>
          <xdr:col>6</xdr:col>
          <xdr:colOff>219075</xdr:colOff>
          <xdr:row>38</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36</xdr:row>
          <xdr:rowOff>333375</xdr:rowOff>
        </xdr:from>
        <xdr:to>
          <xdr:col>6</xdr:col>
          <xdr:colOff>219075</xdr:colOff>
          <xdr:row>38</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333375</xdr:rowOff>
        </xdr:from>
        <xdr:to>
          <xdr:col>6</xdr:col>
          <xdr:colOff>219075</xdr:colOff>
          <xdr:row>39</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38</xdr:row>
          <xdr:rowOff>333375</xdr:rowOff>
        </xdr:from>
        <xdr:to>
          <xdr:col>6</xdr:col>
          <xdr:colOff>219075</xdr:colOff>
          <xdr:row>40</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4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39</xdr:row>
          <xdr:rowOff>333375</xdr:rowOff>
        </xdr:from>
        <xdr:to>
          <xdr:col>6</xdr:col>
          <xdr:colOff>219075</xdr:colOff>
          <xdr:row>41</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4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333375</xdr:rowOff>
        </xdr:from>
        <xdr:to>
          <xdr:col>6</xdr:col>
          <xdr:colOff>219075</xdr:colOff>
          <xdr:row>42</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4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333375</xdr:rowOff>
        </xdr:from>
        <xdr:to>
          <xdr:col>6</xdr:col>
          <xdr:colOff>219075</xdr:colOff>
          <xdr:row>42</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4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41</xdr:row>
          <xdr:rowOff>333375</xdr:rowOff>
        </xdr:from>
        <xdr:to>
          <xdr:col>6</xdr:col>
          <xdr:colOff>219075</xdr:colOff>
          <xdr:row>43</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333375</xdr:rowOff>
        </xdr:from>
        <xdr:to>
          <xdr:col>6</xdr:col>
          <xdr:colOff>219075</xdr:colOff>
          <xdr:row>44</xdr:row>
          <xdr:rowOff>9525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4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43</xdr:row>
          <xdr:rowOff>333375</xdr:rowOff>
        </xdr:from>
        <xdr:to>
          <xdr:col>6</xdr:col>
          <xdr:colOff>219075</xdr:colOff>
          <xdr:row>45</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4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4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44</xdr:row>
          <xdr:rowOff>333375</xdr:rowOff>
        </xdr:from>
        <xdr:to>
          <xdr:col>6</xdr:col>
          <xdr:colOff>219075</xdr:colOff>
          <xdr:row>46</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45</xdr:row>
          <xdr:rowOff>333375</xdr:rowOff>
        </xdr:from>
        <xdr:to>
          <xdr:col>6</xdr:col>
          <xdr:colOff>219075</xdr:colOff>
          <xdr:row>47</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46</xdr:row>
          <xdr:rowOff>333375</xdr:rowOff>
        </xdr:from>
        <xdr:to>
          <xdr:col>6</xdr:col>
          <xdr:colOff>219075</xdr:colOff>
          <xdr:row>48</xdr:row>
          <xdr:rowOff>9525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47</xdr:row>
          <xdr:rowOff>333375</xdr:rowOff>
        </xdr:from>
        <xdr:to>
          <xdr:col>6</xdr:col>
          <xdr:colOff>219075</xdr:colOff>
          <xdr:row>49</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333375</xdr:rowOff>
        </xdr:from>
        <xdr:to>
          <xdr:col>6</xdr:col>
          <xdr:colOff>219075</xdr:colOff>
          <xdr:row>50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333375</xdr:rowOff>
        </xdr:from>
        <xdr:to>
          <xdr:col>6</xdr:col>
          <xdr:colOff>219075</xdr:colOff>
          <xdr:row>50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4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333375</xdr:rowOff>
        </xdr:from>
        <xdr:to>
          <xdr:col>6</xdr:col>
          <xdr:colOff>219075</xdr:colOff>
          <xdr:row>51</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4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333375</xdr:rowOff>
        </xdr:from>
        <xdr:to>
          <xdr:col>6</xdr:col>
          <xdr:colOff>219075</xdr:colOff>
          <xdr:row>52</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4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333375</xdr:rowOff>
        </xdr:from>
        <xdr:to>
          <xdr:col>6</xdr:col>
          <xdr:colOff>219075</xdr:colOff>
          <xdr:row>53</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4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333375</xdr:rowOff>
        </xdr:from>
        <xdr:to>
          <xdr:col>6</xdr:col>
          <xdr:colOff>219075</xdr:colOff>
          <xdr:row>54</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44</xdr:col>
      <xdr:colOff>266700</xdr:colOff>
      <xdr:row>12</xdr:row>
      <xdr:rowOff>95250</xdr:rowOff>
    </xdr:from>
    <xdr:to>
      <xdr:col>51</xdr:col>
      <xdr:colOff>525992</xdr:colOff>
      <xdr:row>13</xdr:row>
      <xdr:rowOff>105835</xdr:rowOff>
    </xdr:to>
    <xdr:sp macro="" textlink="">
      <xdr:nvSpPr>
        <xdr:cNvPr id="3" name="角丸四角形吹き出し 1">
          <a:extLst>
            <a:ext uri="{FF2B5EF4-FFF2-40B4-BE49-F238E27FC236}">
              <a16:creationId xmlns:a16="http://schemas.microsoft.com/office/drawing/2014/main" id="{A02B8335-D404-440C-8154-FC29B64D0125}"/>
            </a:ext>
          </a:extLst>
        </xdr:cNvPr>
        <xdr:cNvSpPr/>
      </xdr:nvSpPr>
      <xdr:spPr>
        <a:xfrm>
          <a:off x="8686800" y="3324225"/>
          <a:ext cx="4459817" cy="334435"/>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44</xdr:col>
      <xdr:colOff>301979</xdr:colOff>
      <xdr:row>14</xdr:row>
      <xdr:rowOff>40215</xdr:rowOff>
    </xdr:from>
    <xdr:to>
      <xdr:col>54</xdr:col>
      <xdr:colOff>515763</xdr:colOff>
      <xdr:row>17</xdr:row>
      <xdr:rowOff>313972</xdr:rowOff>
    </xdr:to>
    <xdr:sp macro="" textlink="">
      <xdr:nvSpPr>
        <xdr:cNvPr id="6" name="角丸四角形吹き出し 2">
          <a:extLst>
            <a:ext uri="{FF2B5EF4-FFF2-40B4-BE49-F238E27FC236}">
              <a16:creationId xmlns:a16="http://schemas.microsoft.com/office/drawing/2014/main" id="{7AE3AC3E-A4D6-4253-A7DF-8878EAFFFEFB}"/>
            </a:ext>
          </a:extLst>
        </xdr:cNvPr>
        <xdr:cNvSpPr/>
      </xdr:nvSpPr>
      <xdr:spPr>
        <a:xfrm>
          <a:off x="8722079" y="3954990"/>
          <a:ext cx="6214534" cy="1359607"/>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twoCellAnchor>
    <xdr:from>
      <xdr:col>44</xdr:col>
      <xdr:colOff>351368</xdr:colOff>
      <xdr:row>31</xdr:row>
      <xdr:rowOff>40217</xdr:rowOff>
    </xdr:from>
    <xdr:to>
      <xdr:col>49</xdr:col>
      <xdr:colOff>581027</xdr:colOff>
      <xdr:row>32</xdr:row>
      <xdr:rowOff>179917</xdr:rowOff>
    </xdr:to>
    <xdr:sp macro="" textlink="">
      <xdr:nvSpPr>
        <xdr:cNvPr id="7" name="角丸四角形吹き出し 3">
          <a:extLst>
            <a:ext uri="{FF2B5EF4-FFF2-40B4-BE49-F238E27FC236}">
              <a16:creationId xmlns:a16="http://schemas.microsoft.com/office/drawing/2014/main" id="{50060FC0-5FC1-44BE-9D27-708C1105748C}"/>
            </a:ext>
          </a:extLst>
        </xdr:cNvPr>
        <xdr:cNvSpPr/>
      </xdr:nvSpPr>
      <xdr:spPr>
        <a:xfrm>
          <a:off x="8771468" y="10108142"/>
          <a:ext cx="3230034" cy="320675"/>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B7"/>
  <sheetViews>
    <sheetView tabSelected="1" zoomScaleNormal="100" workbookViewId="0">
      <selection activeCell="B1" sqref="B1"/>
    </sheetView>
  </sheetViews>
  <sheetFormatPr defaultRowHeight="13.5" x14ac:dyDescent="0.15"/>
  <cols>
    <col min="2" max="2" width="81.375" customWidth="1"/>
  </cols>
  <sheetData>
    <row r="2" spans="2:2" ht="17.25" x14ac:dyDescent="0.15">
      <c r="B2" s="3" t="s">
        <v>255</v>
      </c>
    </row>
    <row r="3" spans="2:2" ht="17.25" x14ac:dyDescent="0.15">
      <c r="B3" s="5" t="s">
        <v>149</v>
      </c>
    </row>
    <row r="4" spans="2:2" ht="34.5" x14ac:dyDescent="0.15">
      <c r="B4" s="6" t="s">
        <v>150</v>
      </c>
    </row>
    <row r="5" spans="2:2" ht="17.25" x14ac:dyDescent="0.15">
      <c r="B5" s="4" t="s">
        <v>148</v>
      </c>
    </row>
    <row r="6" spans="2:2" ht="17.25" x14ac:dyDescent="0.15">
      <c r="B6" s="4" t="s">
        <v>430</v>
      </c>
    </row>
    <row r="7" spans="2:2" ht="51.75" x14ac:dyDescent="0.15">
      <c r="B7" s="4" t="s">
        <v>146</v>
      </c>
    </row>
  </sheetData>
  <customSheetViews>
    <customSheetView guid="{55E56F26-4B40-4110-8016-275979CB7E24}">
      <selection activeCell="B12" sqref="B12"/>
      <pageMargins left="0.7" right="0.7" top="0.75" bottom="0.75" header="0.3" footer="0.3"/>
    </customSheetView>
  </customSheetView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42"/>
  <sheetViews>
    <sheetView zoomScale="70" zoomScaleNormal="70" zoomScaleSheetLayoutView="100" workbookViewId="0">
      <selection activeCell="I16" sqref="I16"/>
    </sheetView>
  </sheetViews>
  <sheetFormatPr defaultColWidth="3.625" defaultRowHeight="20.100000000000001" customHeight="1" x14ac:dyDescent="0.15"/>
  <cols>
    <col min="1" max="1" width="3.125" style="62" bestFit="1" customWidth="1"/>
    <col min="2" max="2" width="4.125" style="60" customWidth="1"/>
    <col min="3" max="7" width="4.125" style="62" customWidth="1"/>
    <col min="8" max="8" width="4.125" style="59" bestFit="1" customWidth="1"/>
    <col min="9" max="9" width="3.5" style="59" customWidth="1"/>
    <col min="10" max="10" width="3.625" style="59" customWidth="1"/>
    <col min="11" max="11" width="4.625" style="59" customWidth="1"/>
    <col min="12" max="16" width="3.625" style="59" customWidth="1"/>
    <col min="17" max="18" width="2.125" style="59" customWidth="1"/>
    <col min="19" max="19" width="4.625" style="59" customWidth="1"/>
    <col min="20" max="20" width="3.625" style="59" customWidth="1"/>
    <col min="21" max="22" width="2.125" style="59" customWidth="1"/>
    <col min="23" max="25" width="3.625" style="59" customWidth="1"/>
    <col min="26" max="27" width="2.125" style="59" customWidth="1"/>
    <col min="28" max="28" width="4.625" style="59" customWidth="1"/>
    <col min="29" max="29" width="3.625" style="59" customWidth="1"/>
    <col min="30" max="30" width="4.625" style="59" customWidth="1"/>
    <col min="31" max="31" width="172.125" style="59" customWidth="1"/>
    <col min="32" max="32" width="10.75" style="59" customWidth="1"/>
    <col min="33" max="34" width="15.625" style="59" customWidth="1"/>
    <col min="35" max="35" width="3.625" style="59" customWidth="1"/>
    <col min="36" max="261" width="3.625" style="59"/>
    <col min="262" max="262" width="3.125" style="59" bestFit="1" customWidth="1"/>
    <col min="263" max="268" width="3.625" style="59" customWidth="1"/>
    <col min="269" max="269" width="3" style="59" bestFit="1" customWidth="1"/>
    <col min="270" max="284" width="3.625" style="59" customWidth="1"/>
    <col min="285" max="285" width="4.625" style="59" customWidth="1"/>
    <col min="286" max="517" width="3.625" style="59"/>
    <col min="518" max="518" width="3.125" style="59" bestFit="1" customWidth="1"/>
    <col min="519" max="524" width="3.625" style="59" customWidth="1"/>
    <col min="525" max="525" width="3" style="59" bestFit="1" customWidth="1"/>
    <col min="526" max="540" width="3.625" style="59" customWidth="1"/>
    <col min="541" max="541" width="4.625" style="59" customWidth="1"/>
    <col min="542" max="773" width="3.625" style="59"/>
    <col min="774" max="774" width="3.125" style="59" bestFit="1" customWidth="1"/>
    <col min="775" max="780" width="3.625" style="59" customWidth="1"/>
    <col min="781" max="781" width="3" style="59" bestFit="1" customWidth="1"/>
    <col min="782" max="796" width="3.625" style="59" customWidth="1"/>
    <col min="797" max="797" width="4.625" style="59" customWidth="1"/>
    <col min="798" max="1029" width="3.625" style="59"/>
    <col min="1030" max="1030" width="3.125" style="59" bestFit="1" customWidth="1"/>
    <col min="1031" max="1036" width="3.625" style="59" customWidth="1"/>
    <col min="1037" max="1037" width="3" style="59" bestFit="1" customWidth="1"/>
    <col min="1038" max="1052" width="3.625" style="59" customWidth="1"/>
    <col min="1053" max="1053" width="4.625" style="59" customWidth="1"/>
    <col min="1054" max="1285" width="3.625" style="59"/>
    <col min="1286" max="1286" width="3.125" style="59" bestFit="1" customWidth="1"/>
    <col min="1287" max="1292" width="3.625" style="59" customWidth="1"/>
    <col min="1293" max="1293" width="3" style="59" bestFit="1" customWidth="1"/>
    <col min="1294" max="1308" width="3.625" style="59" customWidth="1"/>
    <col min="1309" max="1309" width="4.625" style="59" customWidth="1"/>
    <col min="1310" max="1541" width="3.625" style="59"/>
    <col min="1542" max="1542" width="3.125" style="59" bestFit="1" customWidth="1"/>
    <col min="1543" max="1548" width="3.625" style="59" customWidth="1"/>
    <col min="1549" max="1549" width="3" style="59" bestFit="1" customWidth="1"/>
    <col min="1550" max="1564" width="3.625" style="59" customWidth="1"/>
    <col min="1565" max="1565" width="4.625" style="59" customWidth="1"/>
    <col min="1566" max="1797" width="3.625" style="59"/>
    <col min="1798" max="1798" width="3.125" style="59" bestFit="1" customWidth="1"/>
    <col min="1799" max="1804" width="3.625" style="59" customWidth="1"/>
    <col min="1805" max="1805" width="3" style="59" bestFit="1" customWidth="1"/>
    <col min="1806" max="1820" width="3.625" style="59" customWidth="1"/>
    <col min="1821" max="1821" width="4.625" style="59" customWidth="1"/>
    <col min="1822" max="2053" width="3.625" style="59"/>
    <col min="2054" max="2054" width="3.125" style="59" bestFit="1" customWidth="1"/>
    <col min="2055" max="2060" width="3.625" style="59" customWidth="1"/>
    <col min="2061" max="2061" width="3" style="59" bestFit="1" customWidth="1"/>
    <col min="2062" max="2076" width="3.625" style="59" customWidth="1"/>
    <col min="2077" max="2077" width="4.625" style="59" customWidth="1"/>
    <col min="2078" max="2309" width="3.625" style="59"/>
    <col min="2310" max="2310" width="3.125" style="59" bestFit="1" customWidth="1"/>
    <col min="2311" max="2316" width="3.625" style="59" customWidth="1"/>
    <col min="2317" max="2317" width="3" style="59" bestFit="1" customWidth="1"/>
    <col min="2318" max="2332" width="3.625" style="59" customWidth="1"/>
    <col min="2333" max="2333" width="4.625" style="59" customWidth="1"/>
    <col min="2334" max="2565" width="3.625" style="59"/>
    <col min="2566" max="2566" width="3.125" style="59" bestFit="1" customWidth="1"/>
    <col min="2567" max="2572" width="3.625" style="59" customWidth="1"/>
    <col min="2573" max="2573" width="3" style="59" bestFit="1" customWidth="1"/>
    <col min="2574" max="2588" width="3.625" style="59" customWidth="1"/>
    <col min="2589" max="2589" width="4.625" style="59" customWidth="1"/>
    <col min="2590" max="2821" width="3.625" style="59"/>
    <col min="2822" max="2822" width="3.125" style="59" bestFit="1" customWidth="1"/>
    <col min="2823" max="2828" width="3.625" style="59" customWidth="1"/>
    <col min="2829" max="2829" width="3" style="59" bestFit="1" customWidth="1"/>
    <col min="2830" max="2844" width="3.625" style="59" customWidth="1"/>
    <col min="2845" max="2845" width="4.625" style="59" customWidth="1"/>
    <col min="2846" max="3077" width="3.625" style="59"/>
    <col min="3078" max="3078" width="3.125" style="59" bestFit="1" customWidth="1"/>
    <col min="3079" max="3084" width="3.625" style="59" customWidth="1"/>
    <col min="3085" max="3085" width="3" style="59" bestFit="1" customWidth="1"/>
    <col min="3086" max="3100" width="3.625" style="59" customWidth="1"/>
    <col min="3101" max="3101" width="4.625" style="59" customWidth="1"/>
    <col min="3102" max="3333" width="3.625" style="59"/>
    <col min="3334" max="3334" width="3.125" style="59" bestFit="1" customWidth="1"/>
    <col min="3335" max="3340" width="3.625" style="59" customWidth="1"/>
    <col min="3341" max="3341" width="3" style="59" bestFit="1" customWidth="1"/>
    <col min="3342" max="3356" width="3.625" style="59" customWidth="1"/>
    <col min="3357" max="3357" width="4.625" style="59" customWidth="1"/>
    <col min="3358" max="3589" width="3.625" style="59"/>
    <col min="3590" max="3590" width="3.125" style="59" bestFit="1" customWidth="1"/>
    <col min="3591" max="3596" width="3.625" style="59" customWidth="1"/>
    <col min="3597" max="3597" width="3" style="59" bestFit="1" customWidth="1"/>
    <col min="3598" max="3612" width="3.625" style="59" customWidth="1"/>
    <col min="3613" max="3613" width="4.625" style="59" customWidth="1"/>
    <col min="3614" max="3845" width="3.625" style="59"/>
    <col min="3846" max="3846" width="3.125" style="59" bestFit="1" customWidth="1"/>
    <col min="3847" max="3852" width="3.625" style="59" customWidth="1"/>
    <col min="3853" max="3853" width="3" style="59" bestFit="1" customWidth="1"/>
    <col min="3854" max="3868" width="3.625" style="59" customWidth="1"/>
    <col min="3869" max="3869" width="4.625" style="59" customWidth="1"/>
    <col min="3870" max="4101" width="3.625" style="59"/>
    <col min="4102" max="4102" width="3.125" style="59" bestFit="1" customWidth="1"/>
    <col min="4103" max="4108" width="3.625" style="59" customWidth="1"/>
    <col min="4109" max="4109" width="3" style="59" bestFit="1" customWidth="1"/>
    <col min="4110" max="4124" width="3.625" style="59" customWidth="1"/>
    <col min="4125" max="4125" width="4.625" style="59" customWidth="1"/>
    <col min="4126" max="4357" width="3.625" style="59"/>
    <col min="4358" max="4358" width="3.125" style="59" bestFit="1" customWidth="1"/>
    <col min="4359" max="4364" width="3.625" style="59" customWidth="1"/>
    <col min="4365" max="4365" width="3" style="59" bestFit="1" customWidth="1"/>
    <col min="4366" max="4380" width="3.625" style="59" customWidth="1"/>
    <col min="4381" max="4381" width="4.625" style="59" customWidth="1"/>
    <col min="4382" max="4613" width="3.625" style="59"/>
    <col min="4614" max="4614" width="3.125" style="59" bestFit="1" customWidth="1"/>
    <col min="4615" max="4620" width="3.625" style="59" customWidth="1"/>
    <col min="4621" max="4621" width="3" style="59" bestFit="1" customWidth="1"/>
    <col min="4622" max="4636" width="3.625" style="59" customWidth="1"/>
    <col min="4637" max="4637" width="4.625" style="59" customWidth="1"/>
    <col min="4638" max="4869" width="3.625" style="59"/>
    <col min="4870" max="4870" width="3.125" style="59" bestFit="1" customWidth="1"/>
    <col min="4871" max="4876" width="3.625" style="59" customWidth="1"/>
    <col min="4877" max="4877" width="3" style="59" bestFit="1" customWidth="1"/>
    <col min="4878" max="4892" width="3.625" style="59" customWidth="1"/>
    <col min="4893" max="4893" width="4.625" style="59" customWidth="1"/>
    <col min="4894" max="5125" width="3.625" style="59"/>
    <col min="5126" max="5126" width="3.125" style="59" bestFit="1" customWidth="1"/>
    <col min="5127" max="5132" width="3.625" style="59" customWidth="1"/>
    <col min="5133" max="5133" width="3" style="59" bestFit="1" customWidth="1"/>
    <col min="5134" max="5148" width="3.625" style="59" customWidth="1"/>
    <col min="5149" max="5149" width="4.625" style="59" customWidth="1"/>
    <col min="5150" max="5381" width="3.625" style="59"/>
    <col min="5382" max="5382" width="3.125" style="59" bestFit="1" customWidth="1"/>
    <col min="5383" max="5388" width="3.625" style="59" customWidth="1"/>
    <col min="5389" max="5389" width="3" style="59" bestFit="1" customWidth="1"/>
    <col min="5390" max="5404" width="3.625" style="59" customWidth="1"/>
    <col min="5405" max="5405" width="4.625" style="59" customWidth="1"/>
    <col min="5406" max="5637" width="3.625" style="59"/>
    <col min="5638" max="5638" width="3.125" style="59" bestFit="1" customWidth="1"/>
    <col min="5639" max="5644" width="3.625" style="59" customWidth="1"/>
    <col min="5645" max="5645" width="3" style="59" bestFit="1" customWidth="1"/>
    <col min="5646" max="5660" width="3.625" style="59" customWidth="1"/>
    <col min="5661" max="5661" width="4.625" style="59" customWidth="1"/>
    <col min="5662" max="5893" width="3.625" style="59"/>
    <col min="5894" max="5894" width="3.125" style="59" bestFit="1" customWidth="1"/>
    <col min="5895" max="5900" width="3.625" style="59" customWidth="1"/>
    <col min="5901" max="5901" width="3" style="59" bestFit="1" customWidth="1"/>
    <col min="5902" max="5916" width="3.625" style="59" customWidth="1"/>
    <col min="5917" max="5917" width="4.625" style="59" customWidth="1"/>
    <col min="5918" max="6149" width="3.625" style="59"/>
    <col min="6150" max="6150" width="3.125" style="59" bestFit="1" customWidth="1"/>
    <col min="6151" max="6156" width="3.625" style="59" customWidth="1"/>
    <col min="6157" max="6157" width="3" style="59" bestFit="1" customWidth="1"/>
    <col min="6158" max="6172" width="3.625" style="59" customWidth="1"/>
    <col min="6173" max="6173" width="4.625" style="59" customWidth="1"/>
    <col min="6174" max="6405" width="3.625" style="59"/>
    <col min="6406" max="6406" width="3.125" style="59" bestFit="1" customWidth="1"/>
    <col min="6407" max="6412" width="3.625" style="59" customWidth="1"/>
    <col min="6413" max="6413" width="3" style="59" bestFit="1" customWidth="1"/>
    <col min="6414" max="6428" width="3.625" style="59" customWidth="1"/>
    <col min="6429" max="6429" width="4.625" style="59" customWidth="1"/>
    <col min="6430" max="6661" width="3.625" style="59"/>
    <col min="6662" max="6662" width="3.125" style="59" bestFit="1" customWidth="1"/>
    <col min="6663" max="6668" width="3.625" style="59" customWidth="1"/>
    <col min="6669" max="6669" width="3" style="59" bestFit="1" customWidth="1"/>
    <col min="6670" max="6684" width="3.625" style="59" customWidth="1"/>
    <col min="6685" max="6685" width="4.625" style="59" customWidth="1"/>
    <col min="6686" max="6917" width="3.625" style="59"/>
    <col min="6918" max="6918" width="3.125" style="59" bestFit="1" customWidth="1"/>
    <col min="6919" max="6924" width="3.625" style="59" customWidth="1"/>
    <col min="6925" max="6925" width="3" style="59" bestFit="1" customWidth="1"/>
    <col min="6926" max="6940" width="3.625" style="59" customWidth="1"/>
    <col min="6941" max="6941" width="4.625" style="59" customWidth="1"/>
    <col min="6942" max="7173" width="3.625" style="59"/>
    <col min="7174" max="7174" width="3.125" style="59" bestFit="1" customWidth="1"/>
    <col min="7175" max="7180" width="3.625" style="59" customWidth="1"/>
    <col min="7181" max="7181" width="3" style="59" bestFit="1" customWidth="1"/>
    <col min="7182" max="7196" width="3.625" style="59" customWidth="1"/>
    <col min="7197" max="7197" width="4.625" style="59" customWidth="1"/>
    <col min="7198" max="7429" width="3.625" style="59"/>
    <col min="7430" max="7430" width="3.125" style="59" bestFit="1" customWidth="1"/>
    <col min="7431" max="7436" width="3.625" style="59" customWidth="1"/>
    <col min="7437" max="7437" width="3" style="59" bestFit="1" customWidth="1"/>
    <col min="7438" max="7452" width="3.625" style="59" customWidth="1"/>
    <col min="7453" max="7453" width="4.625" style="59" customWidth="1"/>
    <col min="7454" max="7685" width="3.625" style="59"/>
    <col min="7686" max="7686" width="3.125" style="59" bestFit="1" customWidth="1"/>
    <col min="7687" max="7692" width="3.625" style="59" customWidth="1"/>
    <col min="7693" max="7693" width="3" style="59" bestFit="1" customWidth="1"/>
    <col min="7694" max="7708" width="3.625" style="59" customWidth="1"/>
    <col min="7709" max="7709" width="4.625" style="59" customWidth="1"/>
    <col min="7710" max="7941" width="3.625" style="59"/>
    <col min="7942" max="7942" width="3.125" style="59" bestFit="1" customWidth="1"/>
    <col min="7943" max="7948" width="3.625" style="59" customWidth="1"/>
    <col min="7949" max="7949" width="3" style="59" bestFit="1" customWidth="1"/>
    <col min="7950" max="7964" width="3.625" style="59" customWidth="1"/>
    <col min="7965" max="7965" width="4.625" style="59" customWidth="1"/>
    <col min="7966" max="8197" width="3.625" style="59"/>
    <col min="8198" max="8198" width="3.125" style="59" bestFit="1" customWidth="1"/>
    <col min="8199" max="8204" width="3.625" style="59" customWidth="1"/>
    <col min="8205" max="8205" width="3" style="59" bestFit="1" customWidth="1"/>
    <col min="8206" max="8220" width="3.625" style="59" customWidth="1"/>
    <col min="8221" max="8221" width="4.625" style="59" customWidth="1"/>
    <col min="8222" max="8453" width="3.625" style="59"/>
    <col min="8454" max="8454" width="3.125" style="59" bestFit="1" customWidth="1"/>
    <col min="8455" max="8460" width="3.625" style="59" customWidth="1"/>
    <col min="8461" max="8461" width="3" style="59" bestFit="1" customWidth="1"/>
    <col min="8462" max="8476" width="3.625" style="59" customWidth="1"/>
    <col min="8477" max="8477" width="4.625" style="59" customWidth="1"/>
    <col min="8478" max="8709" width="3.625" style="59"/>
    <col min="8710" max="8710" width="3.125" style="59" bestFit="1" customWidth="1"/>
    <col min="8711" max="8716" width="3.625" style="59" customWidth="1"/>
    <col min="8717" max="8717" width="3" style="59" bestFit="1" customWidth="1"/>
    <col min="8718" max="8732" width="3.625" style="59" customWidth="1"/>
    <col min="8733" max="8733" width="4.625" style="59" customWidth="1"/>
    <col min="8734" max="8965" width="3.625" style="59"/>
    <col min="8966" max="8966" width="3.125" style="59" bestFit="1" customWidth="1"/>
    <col min="8967" max="8972" width="3.625" style="59" customWidth="1"/>
    <col min="8973" max="8973" width="3" style="59" bestFit="1" customWidth="1"/>
    <col min="8974" max="8988" width="3.625" style="59" customWidth="1"/>
    <col min="8989" max="8989" width="4.625" style="59" customWidth="1"/>
    <col min="8990" max="9221" width="3.625" style="59"/>
    <col min="9222" max="9222" width="3.125" style="59" bestFit="1" customWidth="1"/>
    <col min="9223" max="9228" width="3.625" style="59" customWidth="1"/>
    <col min="9229" max="9229" width="3" style="59" bestFit="1" customWidth="1"/>
    <col min="9230" max="9244" width="3.625" style="59" customWidth="1"/>
    <col min="9245" max="9245" width="4.625" style="59" customWidth="1"/>
    <col min="9246" max="9477" width="3.625" style="59"/>
    <col min="9478" max="9478" width="3.125" style="59" bestFit="1" customWidth="1"/>
    <col min="9479" max="9484" width="3.625" style="59" customWidth="1"/>
    <col min="9485" max="9485" width="3" style="59" bestFit="1" customWidth="1"/>
    <col min="9486" max="9500" width="3.625" style="59" customWidth="1"/>
    <col min="9501" max="9501" width="4.625" style="59" customWidth="1"/>
    <col min="9502" max="9733" width="3.625" style="59"/>
    <col min="9734" max="9734" width="3.125" style="59" bestFit="1" customWidth="1"/>
    <col min="9735" max="9740" width="3.625" style="59" customWidth="1"/>
    <col min="9741" max="9741" width="3" style="59" bestFit="1" customWidth="1"/>
    <col min="9742" max="9756" width="3.625" style="59" customWidth="1"/>
    <col min="9757" max="9757" width="4.625" style="59" customWidth="1"/>
    <col min="9758" max="9989" width="3.625" style="59"/>
    <col min="9990" max="9990" width="3.125" style="59" bestFit="1" customWidth="1"/>
    <col min="9991" max="9996" width="3.625" style="59" customWidth="1"/>
    <col min="9997" max="9997" width="3" style="59" bestFit="1" customWidth="1"/>
    <col min="9998" max="10012" width="3.625" style="59" customWidth="1"/>
    <col min="10013" max="10013" width="4.625" style="59" customWidth="1"/>
    <col min="10014" max="10245" width="3.625" style="59"/>
    <col min="10246" max="10246" width="3.125" style="59" bestFit="1" customWidth="1"/>
    <col min="10247" max="10252" width="3.625" style="59" customWidth="1"/>
    <col min="10253" max="10253" width="3" style="59" bestFit="1" customWidth="1"/>
    <col min="10254" max="10268" width="3.625" style="59" customWidth="1"/>
    <col min="10269" max="10269" width="4.625" style="59" customWidth="1"/>
    <col min="10270" max="10501" width="3.625" style="59"/>
    <col min="10502" max="10502" width="3.125" style="59" bestFit="1" customWidth="1"/>
    <col min="10503" max="10508" width="3.625" style="59" customWidth="1"/>
    <col min="10509" max="10509" width="3" style="59" bestFit="1" customWidth="1"/>
    <col min="10510" max="10524" width="3.625" style="59" customWidth="1"/>
    <col min="10525" max="10525" width="4.625" style="59" customWidth="1"/>
    <col min="10526" max="10757" width="3.625" style="59"/>
    <col min="10758" max="10758" width="3.125" style="59" bestFit="1" customWidth="1"/>
    <col min="10759" max="10764" width="3.625" style="59" customWidth="1"/>
    <col min="10765" max="10765" width="3" style="59" bestFit="1" customWidth="1"/>
    <col min="10766" max="10780" width="3.625" style="59" customWidth="1"/>
    <col min="10781" max="10781" width="4.625" style="59" customWidth="1"/>
    <col min="10782" max="11013" width="3.625" style="59"/>
    <col min="11014" max="11014" width="3.125" style="59" bestFit="1" customWidth="1"/>
    <col min="11015" max="11020" width="3.625" style="59" customWidth="1"/>
    <col min="11021" max="11021" width="3" style="59" bestFit="1" customWidth="1"/>
    <col min="11022" max="11036" width="3.625" style="59" customWidth="1"/>
    <col min="11037" max="11037" width="4.625" style="59" customWidth="1"/>
    <col min="11038" max="11269" width="3.625" style="59"/>
    <col min="11270" max="11270" width="3.125" style="59" bestFit="1" customWidth="1"/>
    <col min="11271" max="11276" width="3.625" style="59" customWidth="1"/>
    <col min="11277" max="11277" width="3" style="59" bestFit="1" customWidth="1"/>
    <col min="11278" max="11292" width="3.625" style="59" customWidth="1"/>
    <col min="11293" max="11293" width="4.625" style="59" customWidth="1"/>
    <col min="11294" max="11525" width="3.625" style="59"/>
    <col min="11526" max="11526" width="3.125" style="59" bestFit="1" customWidth="1"/>
    <col min="11527" max="11532" width="3.625" style="59" customWidth="1"/>
    <col min="11533" max="11533" width="3" style="59" bestFit="1" customWidth="1"/>
    <col min="11534" max="11548" width="3.625" style="59" customWidth="1"/>
    <col min="11549" max="11549" width="4.625" style="59" customWidth="1"/>
    <col min="11550" max="11781" width="3.625" style="59"/>
    <col min="11782" max="11782" width="3.125" style="59" bestFit="1" customWidth="1"/>
    <col min="11783" max="11788" width="3.625" style="59" customWidth="1"/>
    <col min="11789" max="11789" width="3" style="59" bestFit="1" customWidth="1"/>
    <col min="11790" max="11804" width="3.625" style="59" customWidth="1"/>
    <col min="11805" max="11805" width="4.625" style="59" customWidth="1"/>
    <col min="11806" max="12037" width="3.625" style="59"/>
    <col min="12038" max="12038" width="3.125" style="59" bestFit="1" customWidth="1"/>
    <col min="12039" max="12044" width="3.625" style="59" customWidth="1"/>
    <col min="12045" max="12045" width="3" style="59" bestFit="1" customWidth="1"/>
    <col min="12046" max="12060" width="3.625" style="59" customWidth="1"/>
    <col min="12061" max="12061" width="4.625" style="59" customWidth="1"/>
    <col min="12062" max="12293" width="3.625" style="59"/>
    <col min="12294" max="12294" width="3.125" style="59" bestFit="1" customWidth="1"/>
    <col min="12295" max="12300" width="3.625" style="59" customWidth="1"/>
    <col min="12301" max="12301" width="3" style="59" bestFit="1" customWidth="1"/>
    <col min="12302" max="12316" width="3.625" style="59" customWidth="1"/>
    <col min="12317" max="12317" width="4.625" style="59" customWidth="1"/>
    <col min="12318" max="12549" width="3.625" style="59"/>
    <col min="12550" max="12550" width="3.125" style="59" bestFit="1" customWidth="1"/>
    <col min="12551" max="12556" width="3.625" style="59" customWidth="1"/>
    <col min="12557" max="12557" width="3" style="59" bestFit="1" customWidth="1"/>
    <col min="12558" max="12572" width="3.625" style="59" customWidth="1"/>
    <col min="12573" max="12573" width="4.625" style="59" customWidth="1"/>
    <col min="12574" max="12805" width="3.625" style="59"/>
    <col min="12806" max="12806" width="3.125" style="59" bestFit="1" customWidth="1"/>
    <col min="12807" max="12812" width="3.625" style="59" customWidth="1"/>
    <col min="12813" max="12813" width="3" style="59" bestFit="1" customWidth="1"/>
    <col min="12814" max="12828" width="3.625" style="59" customWidth="1"/>
    <col min="12829" max="12829" width="4.625" style="59" customWidth="1"/>
    <col min="12830" max="13061" width="3.625" style="59"/>
    <col min="13062" max="13062" width="3.125" style="59" bestFit="1" customWidth="1"/>
    <col min="13063" max="13068" width="3.625" style="59" customWidth="1"/>
    <col min="13069" max="13069" width="3" style="59" bestFit="1" customWidth="1"/>
    <col min="13070" max="13084" width="3.625" style="59" customWidth="1"/>
    <col min="13085" max="13085" width="4.625" style="59" customWidth="1"/>
    <col min="13086" max="13317" width="3.625" style="59"/>
    <col min="13318" max="13318" width="3.125" style="59" bestFit="1" customWidth="1"/>
    <col min="13319" max="13324" width="3.625" style="59" customWidth="1"/>
    <col min="13325" max="13325" width="3" style="59" bestFit="1" customWidth="1"/>
    <col min="13326" max="13340" width="3.625" style="59" customWidth="1"/>
    <col min="13341" max="13341" width="4.625" style="59" customWidth="1"/>
    <col min="13342" max="13573" width="3.625" style="59"/>
    <col min="13574" max="13574" width="3.125" style="59" bestFit="1" customWidth="1"/>
    <col min="13575" max="13580" width="3.625" style="59" customWidth="1"/>
    <col min="13581" max="13581" width="3" style="59" bestFit="1" customWidth="1"/>
    <col min="13582" max="13596" width="3.625" style="59" customWidth="1"/>
    <col min="13597" max="13597" width="4.625" style="59" customWidth="1"/>
    <col min="13598" max="13829" width="3.625" style="59"/>
    <col min="13830" max="13830" width="3.125" style="59" bestFit="1" customWidth="1"/>
    <col min="13831" max="13836" width="3.625" style="59" customWidth="1"/>
    <col min="13837" max="13837" width="3" style="59" bestFit="1" customWidth="1"/>
    <col min="13838" max="13852" width="3.625" style="59" customWidth="1"/>
    <col min="13853" max="13853" width="4.625" style="59" customWidth="1"/>
    <col min="13854" max="14085" width="3.625" style="59"/>
    <col min="14086" max="14086" width="3.125" style="59" bestFit="1" customWidth="1"/>
    <col min="14087" max="14092" width="3.625" style="59" customWidth="1"/>
    <col min="14093" max="14093" width="3" style="59" bestFit="1" customWidth="1"/>
    <col min="14094" max="14108" width="3.625" style="59" customWidth="1"/>
    <col min="14109" max="14109" width="4.625" style="59" customWidth="1"/>
    <col min="14110" max="14341" width="3.625" style="59"/>
    <col min="14342" max="14342" width="3.125" style="59" bestFit="1" customWidth="1"/>
    <col min="14343" max="14348" width="3.625" style="59" customWidth="1"/>
    <col min="14349" max="14349" width="3" style="59" bestFit="1" customWidth="1"/>
    <col min="14350" max="14364" width="3.625" style="59" customWidth="1"/>
    <col min="14365" max="14365" width="4.625" style="59" customWidth="1"/>
    <col min="14366" max="14597" width="3.625" style="59"/>
    <col min="14598" max="14598" width="3.125" style="59" bestFit="1" customWidth="1"/>
    <col min="14599" max="14604" width="3.625" style="59" customWidth="1"/>
    <col min="14605" max="14605" width="3" style="59" bestFit="1" customWidth="1"/>
    <col min="14606" max="14620" width="3.625" style="59" customWidth="1"/>
    <col min="14621" max="14621" width="4.625" style="59" customWidth="1"/>
    <col min="14622" max="14853" width="3.625" style="59"/>
    <col min="14854" max="14854" width="3.125" style="59" bestFit="1" customWidth="1"/>
    <col min="14855" max="14860" width="3.625" style="59" customWidth="1"/>
    <col min="14861" max="14861" width="3" style="59" bestFit="1" customWidth="1"/>
    <col min="14862" max="14876" width="3.625" style="59" customWidth="1"/>
    <col min="14877" max="14877" width="4.625" style="59" customWidth="1"/>
    <col min="14878" max="15109" width="3.625" style="59"/>
    <col min="15110" max="15110" width="3.125" style="59" bestFit="1" customWidth="1"/>
    <col min="15111" max="15116" width="3.625" style="59" customWidth="1"/>
    <col min="15117" max="15117" width="3" style="59" bestFit="1" customWidth="1"/>
    <col min="15118" max="15132" width="3.625" style="59" customWidth="1"/>
    <col min="15133" max="15133" width="4.625" style="59" customWidth="1"/>
    <col min="15134" max="15365" width="3.625" style="59"/>
    <col min="15366" max="15366" width="3.125" style="59" bestFit="1" customWidth="1"/>
    <col min="15367" max="15372" width="3.625" style="59" customWidth="1"/>
    <col min="15373" max="15373" width="3" style="59" bestFit="1" customWidth="1"/>
    <col min="15374" max="15388" width="3.625" style="59" customWidth="1"/>
    <col min="15389" max="15389" width="4.625" style="59" customWidth="1"/>
    <col min="15390" max="15621" width="3.625" style="59"/>
    <col min="15622" max="15622" width="3.125" style="59" bestFit="1" customWidth="1"/>
    <col min="15623" max="15628" width="3.625" style="59" customWidth="1"/>
    <col min="15629" max="15629" width="3" style="59" bestFit="1" customWidth="1"/>
    <col min="15630" max="15644" width="3.625" style="59" customWidth="1"/>
    <col min="15645" max="15645" width="4.625" style="59" customWidth="1"/>
    <col min="15646" max="15877" width="3.625" style="59"/>
    <col min="15878" max="15878" width="3.125" style="59" bestFit="1" customWidth="1"/>
    <col min="15879" max="15884" width="3.625" style="59" customWidth="1"/>
    <col min="15885" max="15885" width="3" style="59" bestFit="1" customWidth="1"/>
    <col min="15886" max="15900" width="3.625" style="59" customWidth="1"/>
    <col min="15901" max="15901" width="4.625" style="59" customWidth="1"/>
    <col min="15902" max="16133" width="3.625" style="59"/>
    <col min="16134" max="16134" width="3.125" style="59" bestFit="1" customWidth="1"/>
    <col min="16135" max="16140" width="3.625" style="59" customWidth="1"/>
    <col min="16141" max="16141" width="3" style="59" bestFit="1" customWidth="1"/>
    <col min="16142" max="16156" width="3.625" style="59" customWidth="1"/>
    <col min="16157" max="16157" width="4.625" style="59" customWidth="1"/>
    <col min="16158" max="16384" width="3.625" style="59"/>
  </cols>
  <sheetData>
    <row r="1" spans="1:35" s="48" customFormat="1" ht="19.899999999999999" customHeight="1" x14ac:dyDescent="0.15">
      <c r="A1" s="48" t="s">
        <v>258</v>
      </c>
      <c r="F1" s="49"/>
      <c r="G1" s="49"/>
      <c r="L1" s="210" t="s">
        <v>24</v>
      </c>
      <c r="M1" s="211"/>
      <c r="N1" s="212"/>
      <c r="O1" s="213" t="str">
        <f>IF(YC書式522_経費内訳書・再生医療!O1="","",YC書式522_経費内訳書・再生医療!O1)</f>
        <v/>
      </c>
      <c r="P1" s="214"/>
      <c r="Q1" s="214"/>
      <c r="R1" s="214"/>
      <c r="S1" s="214"/>
      <c r="T1" s="214"/>
      <c r="U1" s="214"/>
      <c r="V1" s="214"/>
      <c r="W1" s="214"/>
      <c r="X1" s="214"/>
      <c r="Y1" s="214"/>
      <c r="Z1" s="214"/>
      <c r="AA1" s="214"/>
      <c r="AB1" s="214"/>
      <c r="AC1" s="214"/>
      <c r="AD1" s="215"/>
    </row>
    <row r="2" spans="1:35" s="48" customFormat="1" ht="12.95" customHeight="1" x14ac:dyDescent="0.15">
      <c r="A2" s="52"/>
      <c r="F2" s="49"/>
      <c r="G2" s="49"/>
      <c r="L2" s="216" t="s">
        <v>74</v>
      </c>
      <c r="M2" s="217"/>
      <c r="N2" s="218"/>
      <c r="O2" s="50" t="str">
        <f>YC書式522_経費内訳書・再生医療!O2</f>
        <v>■</v>
      </c>
      <c r="P2" s="222" t="str">
        <f>YC書式522_経費内訳書・再生医療!P2</f>
        <v>治験</v>
      </c>
      <c r="Q2" s="222"/>
      <c r="R2" s="222"/>
      <c r="S2" s="51" t="str">
        <f>YC書式522_経費内訳書・再生医療!S2</f>
        <v>□</v>
      </c>
      <c r="T2" s="222" t="str">
        <f>YC書式522_経費内訳書・再生医療!T2</f>
        <v>拡大治験</v>
      </c>
      <c r="U2" s="222"/>
      <c r="V2" s="222"/>
      <c r="W2" s="222"/>
      <c r="X2" s="51" t="str">
        <f>YC書式522_経費内訳書・再生医療!X2</f>
        <v>□</v>
      </c>
      <c r="Y2" s="222" t="str">
        <f>YC書式522_経費内訳書・再生医療!Y2</f>
        <v>製造販売後臨床試験</v>
      </c>
      <c r="Z2" s="222"/>
      <c r="AA2" s="222"/>
      <c r="AB2" s="222"/>
      <c r="AC2" s="222"/>
      <c r="AD2" s="223"/>
      <c r="AE2" s="53"/>
      <c r="AF2" s="53"/>
      <c r="AG2" s="53"/>
    </row>
    <row r="3" spans="1:35" s="48" customFormat="1" ht="12.95" customHeight="1" x14ac:dyDescent="0.15">
      <c r="A3" s="52"/>
      <c r="F3" s="49"/>
      <c r="G3" s="49"/>
      <c r="L3" s="219"/>
      <c r="M3" s="220"/>
      <c r="N3" s="221"/>
      <c r="O3" s="51" t="str">
        <f>YC書式522_経費内訳書・再生医療!O3</f>
        <v>■</v>
      </c>
      <c r="P3" s="222" t="str">
        <f>YC書式522_経費内訳書・再生医療!P3</f>
        <v>再生医療等製品</v>
      </c>
      <c r="Q3" s="222"/>
      <c r="R3" s="222"/>
      <c r="S3" s="222"/>
      <c r="T3" s="222"/>
      <c r="U3" s="222"/>
      <c r="V3" s="222"/>
      <c r="W3" s="222"/>
      <c r="X3" s="222"/>
      <c r="Y3" s="222"/>
      <c r="Z3" s="222"/>
      <c r="AA3" s="222"/>
      <c r="AB3" s="222"/>
      <c r="AC3" s="222"/>
      <c r="AD3" s="223"/>
      <c r="AE3" s="54"/>
      <c r="AF3" s="54"/>
      <c r="AG3" s="54"/>
      <c r="AI3" s="49"/>
    </row>
    <row r="4" spans="1:35" s="48" customFormat="1" ht="30" customHeight="1" x14ac:dyDescent="0.15">
      <c r="A4" s="183" t="s">
        <v>259</v>
      </c>
      <c r="B4" s="183"/>
      <c r="C4" s="183"/>
      <c r="D4" s="183"/>
      <c r="E4" s="183"/>
      <c r="F4" s="183"/>
      <c r="G4" s="183"/>
      <c r="H4" s="183"/>
      <c r="I4" s="183"/>
      <c r="J4" s="183"/>
      <c r="K4" s="183"/>
      <c r="L4" s="183"/>
      <c r="M4" s="183"/>
      <c r="N4" s="183"/>
      <c r="O4" s="183"/>
      <c r="P4" s="183"/>
      <c r="Q4" s="55" t="str">
        <f>YC書式522_経費内訳書・再生医療!P4</f>
        <v>■</v>
      </c>
      <c r="R4" s="179" t="s">
        <v>199</v>
      </c>
      <c r="S4" s="179"/>
      <c r="T4" s="179"/>
      <c r="U4" s="55" t="str">
        <f>YC書式522_経費内訳書・再生医療!T4</f>
        <v>□</v>
      </c>
      <c r="V4" s="179" t="s">
        <v>200</v>
      </c>
      <c r="W4" s="179"/>
      <c r="X4" s="179"/>
      <c r="Y4" s="179"/>
      <c r="Z4" s="180" t="s">
        <v>198</v>
      </c>
      <c r="AA4" s="180"/>
      <c r="AB4" s="181" t="str">
        <f>YC書式522_経費内訳書・再生医療!AB4</f>
        <v>202●/●/●</v>
      </c>
      <c r="AC4" s="181"/>
      <c r="AD4" s="181"/>
      <c r="AI4" s="49"/>
    </row>
    <row r="5" spans="1:35" s="57" customFormat="1" ht="16.149999999999999" customHeight="1" x14ac:dyDescent="0.15">
      <c r="A5" s="178"/>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5" s="57" customFormat="1" ht="26.25" customHeight="1" x14ac:dyDescent="0.15">
      <c r="A6" s="200" t="s">
        <v>260</v>
      </c>
      <c r="B6" s="201"/>
      <c r="C6" s="201"/>
      <c r="D6" s="201"/>
      <c r="E6" s="201"/>
      <c r="F6" s="201"/>
      <c r="G6" s="202"/>
      <c r="H6" s="203" t="str">
        <f>IF(YC書式522_経費内訳書・再生医療!H5="","",YC書式522_経費内訳書・再生医療!H5)</f>
        <v/>
      </c>
      <c r="I6" s="204"/>
      <c r="J6" s="204"/>
      <c r="K6" s="204"/>
      <c r="L6" s="204"/>
      <c r="M6" s="204"/>
      <c r="N6" s="205"/>
      <c r="O6" s="194" t="s">
        <v>26</v>
      </c>
      <c r="P6" s="195"/>
      <c r="Q6" s="195"/>
      <c r="R6" s="195"/>
      <c r="S6" s="195"/>
      <c r="T6" s="195"/>
      <c r="U6" s="195"/>
      <c r="V6" s="196"/>
      <c r="W6" s="206" t="str">
        <f>IF(YC書式522_経費内訳書・再生医療!W5="","",YC書式522_経費内訳書・再生医療!W5)</f>
        <v/>
      </c>
      <c r="X6" s="207"/>
      <c r="Y6" s="207"/>
      <c r="Z6" s="207"/>
      <c r="AA6" s="207"/>
      <c r="AB6" s="207"/>
      <c r="AC6" s="207"/>
      <c r="AD6" s="208"/>
    </row>
    <row r="7" spans="1:35" ht="25.5" customHeight="1" x14ac:dyDescent="0.15">
      <c r="A7" s="154" t="s">
        <v>62</v>
      </c>
      <c r="B7" s="154"/>
      <c r="C7" s="154"/>
      <c r="D7" s="154"/>
      <c r="E7" s="154"/>
      <c r="F7" s="154"/>
      <c r="G7" s="154"/>
      <c r="H7" s="209" t="str">
        <f>IF(YC書式522_経費内訳書・再生医療!H6="","",YC書式522_経費内訳書・再生医療!H6)</f>
        <v>テスト</v>
      </c>
      <c r="I7" s="209"/>
      <c r="J7" s="209"/>
      <c r="K7" s="209"/>
      <c r="L7" s="209"/>
      <c r="M7" s="209"/>
      <c r="N7" s="209"/>
      <c r="O7" s="209"/>
      <c r="P7" s="209"/>
      <c r="Q7" s="209"/>
      <c r="R7" s="209"/>
      <c r="S7" s="209"/>
      <c r="T7" s="209"/>
      <c r="U7" s="209"/>
      <c r="V7" s="209"/>
      <c r="W7" s="209"/>
      <c r="X7" s="209"/>
      <c r="Y7" s="209"/>
      <c r="Z7" s="209"/>
      <c r="AA7" s="209"/>
      <c r="AB7" s="209"/>
      <c r="AC7" s="209"/>
      <c r="AD7" s="209"/>
    </row>
    <row r="8" spans="1:35" s="57" customFormat="1" ht="26.25" customHeight="1" x14ac:dyDescent="0.15">
      <c r="A8" s="182" t="s">
        <v>75</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row>
    <row r="9" spans="1:35" ht="9.9499999999999993" customHeight="1" x14ac:dyDescent="0.15">
      <c r="A9" s="56"/>
      <c r="B9" s="56"/>
      <c r="C9" s="56"/>
      <c r="D9" s="56"/>
      <c r="E9" s="56"/>
      <c r="F9" s="56"/>
      <c r="G9" s="56"/>
      <c r="H9" s="61"/>
      <c r="I9" s="61"/>
      <c r="J9" s="61"/>
      <c r="K9" s="61"/>
      <c r="L9" s="61"/>
      <c r="M9" s="61"/>
      <c r="N9" s="61"/>
      <c r="O9" s="61"/>
      <c r="P9" s="61"/>
      <c r="Q9" s="61"/>
      <c r="R9" s="61"/>
      <c r="S9" s="61"/>
      <c r="T9" s="61"/>
      <c r="U9" s="61"/>
      <c r="V9" s="61"/>
      <c r="W9" s="61"/>
      <c r="X9" s="61"/>
      <c r="Y9" s="61"/>
      <c r="Z9" s="61"/>
      <c r="AA9" s="61"/>
      <c r="AB9" s="61"/>
      <c r="AC9" s="61"/>
      <c r="AD9" s="61"/>
    </row>
    <row r="10" spans="1:35" ht="11.25" customHeight="1" x14ac:dyDescent="0.15">
      <c r="A10" s="184" t="s">
        <v>19</v>
      </c>
      <c r="B10" s="185"/>
      <c r="C10" s="185"/>
      <c r="D10" s="185"/>
      <c r="E10" s="185"/>
      <c r="F10" s="185"/>
      <c r="G10" s="186"/>
      <c r="H10" s="193" t="s">
        <v>3</v>
      </c>
      <c r="I10" s="194" t="s">
        <v>4</v>
      </c>
      <c r="J10" s="195"/>
      <c r="K10" s="195"/>
      <c r="L10" s="195"/>
      <c r="M10" s="195"/>
      <c r="N10" s="195"/>
      <c r="O10" s="195"/>
      <c r="P10" s="195"/>
      <c r="Q10" s="195"/>
      <c r="R10" s="195"/>
      <c r="S10" s="195"/>
      <c r="T10" s="195"/>
      <c r="U10" s="195"/>
      <c r="V10" s="195"/>
      <c r="W10" s="195"/>
      <c r="X10" s="195"/>
      <c r="Y10" s="195"/>
      <c r="Z10" s="195"/>
      <c r="AA10" s="195"/>
      <c r="AB10" s="195"/>
      <c r="AC10" s="195"/>
      <c r="AD10" s="196"/>
    </row>
    <row r="11" spans="1:35" ht="19.5" customHeight="1" x14ac:dyDescent="0.15">
      <c r="A11" s="187"/>
      <c r="B11" s="188"/>
      <c r="C11" s="188"/>
      <c r="D11" s="188"/>
      <c r="E11" s="188"/>
      <c r="F11" s="188"/>
      <c r="G11" s="189"/>
      <c r="H11" s="193"/>
      <c r="I11" s="197" t="s">
        <v>5</v>
      </c>
      <c r="J11" s="198"/>
      <c r="K11" s="198"/>
      <c r="L11" s="198"/>
      <c r="M11" s="198"/>
      <c r="N11" s="199"/>
      <c r="O11" s="197" t="s">
        <v>6</v>
      </c>
      <c r="P11" s="198"/>
      <c r="Q11" s="198"/>
      <c r="R11" s="198"/>
      <c r="S11" s="198"/>
      <c r="T11" s="198"/>
      <c r="U11" s="198"/>
      <c r="V11" s="199"/>
      <c r="W11" s="197" t="s">
        <v>7</v>
      </c>
      <c r="X11" s="198"/>
      <c r="Y11" s="198"/>
      <c r="Z11" s="198"/>
      <c r="AA11" s="198"/>
      <c r="AB11" s="198"/>
      <c r="AC11" s="199"/>
      <c r="AD11" s="224" t="s">
        <v>8</v>
      </c>
    </row>
    <row r="12" spans="1:35" ht="20.100000000000001" customHeight="1" x14ac:dyDescent="0.15">
      <c r="A12" s="190"/>
      <c r="B12" s="191"/>
      <c r="C12" s="191"/>
      <c r="D12" s="191"/>
      <c r="E12" s="191"/>
      <c r="F12" s="191"/>
      <c r="G12" s="192"/>
      <c r="H12" s="193"/>
      <c r="I12" s="63"/>
      <c r="J12" s="226" t="s">
        <v>21</v>
      </c>
      <c r="K12" s="226"/>
      <c r="L12" s="226"/>
      <c r="M12" s="64">
        <v>1</v>
      </c>
      <c r="N12" s="65" t="s">
        <v>22</v>
      </c>
      <c r="O12" s="66"/>
      <c r="P12" s="226" t="s">
        <v>21</v>
      </c>
      <c r="Q12" s="226"/>
      <c r="R12" s="226"/>
      <c r="S12" s="226"/>
      <c r="T12" s="64">
        <v>3</v>
      </c>
      <c r="U12" s="64"/>
      <c r="V12" s="65" t="s">
        <v>22</v>
      </c>
      <c r="W12" s="66"/>
      <c r="X12" s="226" t="s">
        <v>21</v>
      </c>
      <c r="Y12" s="226"/>
      <c r="Z12" s="226"/>
      <c r="AA12" s="64">
        <v>5</v>
      </c>
      <c r="AB12" s="64"/>
      <c r="AC12" s="65" t="s">
        <v>22</v>
      </c>
      <c r="AD12" s="225"/>
      <c r="AG12" s="59" t="s">
        <v>340</v>
      </c>
      <c r="AH12" s="59" t="s">
        <v>341</v>
      </c>
    </row>
    <row r="13" spans="1:35" ht="20.100000000000001" customHeight="1" x14ac:dyDescent="0.15">
      <c r="A13" s="58" t="s">
        <v>9</v>
      </c>
      <c r="B13" s="154" t="s">
        <v>63</v>
      </c>
      <c r="C13" s="154"/>
      <c r="D13" s="154"/>
      <c r="E13" s="154"/>
      <c r="F13" s="154"/>
      <c r="G13" s="154"/>
      <c r="H13" s="58">
        <v>2</v>
      </c>
      <c r="I13" s="12"/>
      <c r="J13" s="157" t="s">
        <v>39</v>
      </c>
      <c r="K13" s="157"/>
      <c r="L13" s="157"/>
      <c r="M13" s="157"/>
      <c r="N13" s="158"/>
      <c r="O13" s="12"/>
      <c r="P13" s="157" t="s">
        <v>40</v>
      </c>
      <c r="Q13" s="157"/>
      <c r="R13" s="157"/>
      <c r="S13" s="157"/>
      <c r="T13" s="157"/>
      <c r="U13" s="157"/>
      <c r="V13" s="158"/>
      <c r="W13" s="12" t="s">
        <v>432</v>
      </c>
      <c r="X13" s="157" t="s">
        <v>41</v>
      </c>
      <c r="Y13" s="157"/>
      <c r="Z13" s="157"/>
      <c r="AA13" s="157"/>
      <c r="AB13" s="157"/>
      <c r="AC13" s="158"/>
      <c r="AD13" s="67">
        <f>IF(AND(I13="",O13="",W13=""),"─",IF(AND(W13="",O13=""),H13,IF(W13="",H13*3,H13*5)))</f>
        <v>10</v>
      </c>
      <c r="AE13" s="68" t="s">
        <v>249</v>
      </c>
    </row>
    <row r="14" spans="1:35" ht="20.100000000000001" customHeight="1" x14ac:dyDescent="0.15">
      <c r="A14" s="58" t="s">
        <v>10</v>
      </c>
      <c r="B14" s="154" t="s">
        <v>64</v>
      </c>
      <c r="C14" s="154"/>
      <c r="D14" s="154"/>
      <c r="E14" s="154"/>
      <c r="F14" s="154"/>
      <c r="G14" s="154"/>
      <c r="H14" s="58">
        <v>1</v>
      </c>
      <c r="I14" s="12"/>
      <c r="J14" s="157" t="s">
        <v>42</v>
      </c>
      <c r="K14" s="157"/>
      <c r="L14" s="157"/>
      <c r="M14" s="157"/>
      <c r="N14" s="158"/>
      <c r="O14" s="12"/>
      <c r="P14" s="157" t="s">
        <v>43</v>
      </c>
      <c r="Q14" s="157"/>
      <c r="R14" s="157"/>
      <c r="S14" s="157"/>
      <c r="T14" s="157"/>
      <c r="U14" s="157"/>
      <c r="V14" s="158"/>
      <c r="W14" s="69"/>
      <c r="X14" s="162" t="s">
        <v>11</v>
      </c>
      <c r="Y14" s="162"/>
      <c r="Z14" s="162"/>
      <c r="AA14" s="162"/>
      <c r="AB14" s="162"/>
      <c r="AC14" s="163"/>
      <c r="AD14" s="67" t="str">
        <f t="shared" ref="AD14:AD29" si="0">IF(AND(I14="",O14="",W14=""),"─",IF(AND(W14="",O14=""),H14,IF(W14="",H14*3,H14*5)))</f>
        <v>─</v>
      </c>
      <c r="AE14" s="70" t="s">
        <v>164</v>
      </c>
    </row>
    <row r="15" spans="1:35" ht="30" customHeight="1" x14ac:dyDescent="0.15">
      <c r="A15" s="58" t="s">
        <v>12</v>
      </c>
      <c r="B15" s="154" t="s">
        <v>261</v>
      </c>
      <c r="C15" s="154"/>
      <c r="D15" s="154"/>
      <c r="E15" s="154"/>
      <c r="F15" s="154"/>
      <c r="G15" s="154"/>
      <c r="H15" s="58">
        <v>1</v>
      </c>
      <c r="I15" s="12"/>
      <c r="J15" s="176" t="s">
        <v>44</v>
      </c>
      <c r="K15" s="176"/>
      <c r="L15" s="176"/>
      <c r="M15" s="176"/>
      <c r="N15" s="177"/>
      <c r="O15" s="1"/>
      <c r="P15" s="176" t="s">
        <v>45</v>
      </c>
      <c r="Q15" s="176"/>
      <c r="R15" s="176"/>
      <c r="S15" s="176"/>
      <c r="T15" s="176"/>
      <c r="U15" s="176"/>
      <c r="V15" s="177"/>
      <c r="W15" s="12"/>
      <c r="X15" s="157" t="s">
        <v>46</v>
      </c>
      <c r="Y15" s="157"/>
      <c r="Z15" s="157"/>
      <c r="AA15" s="157"/>
      <c r="AB15" s="157"/>
      <c r="AC15" s="158"/>
      <c r="AD15" s="67" t="str">
        <f>IF(S2="■","",IF(AND(I15="",O15="",W15=""),"─",IF(AND(W15="",O15=""),H15,IF(W15="",H15*3,H15*5))))</f>
        <v>─</v>
      </c>
      <c r="AE15" s="71" t="str">
        <f>IF($S$2="■",AH15,AG15)</f>
        <v>評価の対象である被験薬の製造承認状況について算定すること。なお、製造販売後臨床試験の場合は、当該要素を算定しない。</v>
      </c>
      <c r="AG15" s="72" t="s">
        <v>219</v>
      </c>
      <c r="AH15" s="72" t="s">
        <v>221</v>
      </c>
    </row>
    <row r="16" spans="1:35" ht="20.100000000000001" customHeight="1" x14ac:dyDescent="0.15">
      <c r="A16" s="58" t="s">
        <v>13</v>
      </c>
      <c r="B16" s="154" t="s">
        <v>65</v>
      </c>
      <c r="C16" s="154"/>
      <c r="D16" s="154"/>
      <c r="E16" s="154"/>
      <c r="F16" s="154"/>
      <c r="G16" s="154"/>
      <c r="H16" s="58">
        <v>2</v>
      </c>
      <c r="I16" s="12" t="s">
        <v>432</v>
      </c>
      <c r="J16" s="157" t="s">
        <v>30</v>
      </c>
      <c r="K16" s="157"/>
      <c r="L16" s="157"/>
      <c r="M16" s="157"/>
      <c r="N16" s="158"/>
      <c r="O16" s="12"/>
      <c r="P16" s="157" t="s">
        <v>47</v>
      </c>
      <c r="Q16" s="157"/>
      <c r="R16" s="157"/>
      <c r="S16" s="157"/>
      <c r="T16" s="157"/>
      <c r="U16" s="157"/>
      <c r="V16" s="158"/>
      <c r="W16" s="12"/>
      <c r="X16" s="157" t="s">
        <v>31</v>
      </c>
      <c r="Y16" s="157"/>
      <c r="Z16" s="157"/>
      <c r="AA16" s="157"/>
      <c r="AB16" s="157"/>
      <c r="AC16" s="158"/>
      <c r="AD16" s="67">
        <f>IF(S2="■","",IF(AND(I16="",O16="",W16=""),"─",IF(AND(W16="",O16=""),H16,IF(W16="",H16*3,H16*5))))</f>
        <v>2</v>
      </c>
      <c r="AE16" s="73" t="str">
        <f>IF($S$2="■",AH16,AG16)</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G16" s="72" t="s">
        <v>220</v>
      </c>
      <c r="AH16" s="72" t="s">
        <v>221</v>
      </c>
    </row>
    <row r="17" spans="1:34" ht="30" customHeight="1" x14ac:dyDescent="0.15">
      <c r="A17" s="58" t="s">
        <v>14</v>
      </c>
      <c r="B17" s="154" t="s">
        <v>67</v>
      </c>
      <c r="C17" s="154"/>
      <c r="D17" s="154"/>
      <c r="E17" s="154"/>
      <c r="F17" s="154"/>
      <c r="G17" s="154"/>
      <c r="H17" s="58">
        <v>1</v>
      </c>
      <c r="I17" s="69"/>
      <c r="J17" s="162"/>
      <c r="K17" s="162"/>
      <c r="L17" s="162"/>
      <c r="M17" s="162"/>
      <c r="N17" s="163"/>
      <c r="O17" s="12"/>
      <c r="P17" s="157" t="s">
        <v>68</v>
      </c>
      <c r="Q17" s="157"/>
      <c r="R17" s="157"/>
      <c r="S17" s="157"/>
      <c r="T17" s="157"/>
      <c r="U17" s="157"/>
      <c r="V17" s="158"/>
      <c r="W17" s="12"/>
      <c r="X17" s="157" t="s">
        <v>69</v>
      </c>
      <c r="Y17" s="157"/>
      <c r="Z17" s="157"/>
      <c r="AA17" s="157"/>
      <c r="AB17" s="157"/>
      <c r="AC17" s="158"/>
      <c r="AD17" s="67" t="str">
        <f t="shared" si="0"/>
        <v>─</v>
      </c>
      <c r="AE17" s="73" t="s">
        <v>165</v>
      </c>
    </row>
    <row r="18" spans="1:34" ht="20.100000000000001" customHeight="1" x14ac:dyDescent="0.15">
      <c r="A18" s="58" t="s">
        <v>72</v>
      </c>
      <c r="B18" s="171" t="s">
        <v>76</v>
      </c>
      <c r="C18" s="172"/>
      <c r="D18" s="172"/>
      <c r="E18" s="172"/>
      <c r="F18" s="172"/>
      <c r="G18" s="173"/>
      <c r="H18" s="58">
        <v>2</v>
      </c>
      <c r="I18" s="74"/>
      <c r="J18" s="174"/>
      <c r="K18" s="174"/>
      <c r="L18" s="174"/>
      <c r="M18" s="174"/>
      <c r="N18" s="175"/>
      <c r="O18" s="69"/>
      <c r="P18" s="162"/>
      <c r="Q18" s="162"/>
      <c r="R18" s="162"/>
      <c r="S18" s="162"/>
      <c r="T18" s="162"/>
      <c r="U18" s="162"/>
      <c r="V18" s="163"/>
      <c r="W18" s="12"/>
      <c r="X18" s="157" t="s">
        <v>77</v>
      </c>
      <c r="Y18" s="157"/>
      <c r="Z18" s="157"/>
      <c r="AA18" s="157"/>
      <c r="AB18" s="157"/>
      <c r="AC18" s="158"/>
      <c r="AD18" s="67" t="str">
        <f t="shared" si="0"/>
        <v>─</v>
      </c>
      <c r="AE18" s="71" t="s">
        <v>133</v>
      </c>
    </row>
    <row r="19" spans="1:34" ht="20.100000000000001" customHeight="1" x14ac:dyDescent="0.15">
      <c r="A19" s="58" t="s">
        <v>81</v>
      </c>
      <c r="B19" s="154" t="s">
        <v>262</v>
      </c>
      <c r="C19" s="154"/>
      <c r="D19" s="154"/>
      <c r="E19" s="154"/>
      <c r="F19" s="154"/>
      <c r="G19" s="154"/>
      <c r="H19" s="58">
        <v>3</v>
      </c>
      <c r="I19" s="12"/>
      <c r="J19" s="157" t="s">
        <v>116</v>
      </c>
      <c r="K19" s="157"/>
      <c r="L19" s="157"/>
      <c r="M19" s="157"/>
      <c r="N19" s="158"/>
      <c r="O19" s="69"/>
      <c r="P19" s="162"/>
      <c r="Q19" s="162"/>
      <c r="R19" s="162"/>
      <c r="S19" s="162"/>
      <c r="T19" s="162"/>
      <c r="U19" s="162"/>
      <c r="V19" s="163"/>
      <c r="W19" s="69"/>
      <c r="X19" s="162"/>
      <c r="Y19" s="162"/>
      <c r="Z19" s="162"/>
      <c r="AA19" s="162"/>
      <c r="AB19" s="162"/>
      <c r="AC19" s="163"/>
      <c r="AD19" s="67" t="str">
        <f>IF(S2="■","",IF(AND(I19="",O19="",W19=""),"─",IF(AND(W19="",O19=""),H19,IF(W19="",H19*3,H19*5))))</f>
        <v>─</v>
      </c>
      <c r="AE19" s="71" t="str">
        <f>IF($S$2="■",AH19,AG19)</f>
        <v>対照となる治療群に対照製品（プラセボを含む）使用する場合に算定すること。</v>
      </c>
      <c r="AG19" s="72" t="s">
        <v>343</v>
      </c>
      <c r="AH19" s="72" t="s">
        <v>342</v>
      </c>
    </row>
    <row r="20" spans="1:34" ht="41.45" customHeight="1" x14ac:dyDescent="0.15">
      <c r="A20" s="58" t="s">
        <v>82</v>
      </c>
      <c r="B20" s="171" t="s">
        <v>263</v>
      </c>
      <c r="C20" s="172"/>
      <c r="D20" s="172"/>
      <c r="E20" s="172"/>
      <c r="F20" s="172"/>
      <c r="G20" s="173"/>
      <c r="H20" s="58">
        <v>1</v>
      </c>
      <c r="I20" s="12"/>
      <c r="J20" s="174"/>
      <c r="K20" s="174"/>
      <c r="L20" s="174"/>
      <c r="M20" s="174"/>
      <c r="N20" s="175"/>
      <c r="O20" s="12"/>
      <c r="P20" s="157" t="s">
        <v>276</v>
      </c>
      <c r="Q20" s="157"/>
      <c r="R20" s="157"/>
      <c r="S20" s="157"/>
      <c r="T20" s="157"/>
      <c r="U20" s="157"/>
      <c r="V20" s="158"/>
      <c r="W20" s="12"/>
      <c r="X20" s="157" t="s">
        <v>277</v>
      </c>
      <c r="Y20" s="157"/>
      <c r="Z20" s="157"/>
      <c r="AA20" s="157"/>
      <c r="AB20" s="157"/>
      <c r="AC20" s="158"/>
      <c r="AD20" s="67" t="str">
        <f>IF(AND(I20="",O20="",W20=""),"─",IF(AND(W20="",O20=""),H20,IF(W20="",H20*3,H20*5)))</f>
        <v>─</v>
      </c>
      <c r="AE20" s="71" t="s">
        <v>324</v>
      </c>
    </row>
    <row r="21" spans="1:34" ht="20.100000000000001" customHeight="1" x14ac:dyDescent="0.15">
      <c r="A21" s="58" t="s">
        <v>83</v>
      </c>
      <c r="B21" s="154" t="s">
        <v>264</v>
      </c>
      <c r="C21" s="154"/>
      <c r="D21" s="154"/>
      <c r="E21" s="154"/>
      <c r="F21" s="154"/>
      <c r="G21" s="154"/>
      <c r="H21" s="58">
        <v>1</v>
      </c>
      <c r="I21" s="12"/>
      <c r="J21" s="157" t="s">
        <v>48</v>
      </c>
      <c r="K21" s="157"/>
      <c r="L21" s="157"/>
      <c r="M21" s="157"/>
      <c r="N21" s="158"/>
      <c r="O21" s="12"/>
      <c r="P21" s="157" t="s">
        <v>278</v>
      </c>
      <c r="Q21" s="157"/>
      <c r="R21" s="157"/>
      <c r="S21" s="157"/>
      <c r="T21" s="157"/>
      <c r="U21" s="157"/>
      <c r="V21" s="158"/>
      <c r="W21" s="12"/>
      <c r="X21" s="157" t="s">
        <v>279</v>
      </c>
      <c r="Y21" s="157"/>
      <c r="Z21" s="157"/>
      <c r="AA21" s="157"/>
      <c r="AB21" s="157"/>
      <c r="AC21" s="158"/>
      <c r="AD21" s="67" t="str">
        <f t="shared" si="0"/>
        <v>─</v>
      </c>
      <c r="AE21" s="68" t="s">
        <v>325</v>
      </c>
    </row>
    <row r="22" spans="1:34" ht="20.100000000000001" customHeight="1" x14ac:dyDescent="0.15">
      <c r="A22" s="227" t="s">
        <v>15</v>
      </c>
      <c r="B22" s="154" t="s">
        <v>265</v>
      </c>
      <c r="C22" s="154"/>
      <c r="D22" s="154"/>
      <c r="E22" s="154"/>
      <c r="F22" s="154"/>
      <c r="G22" s="154"/>
      <c r="H22" s="58">
        <v>3</v>
      </c>
      <c r="I22" s="75" t="str">
        <f>IF(O23="","",IF(O23&lt;=4,"○",""))</f>
        <v/>
      </c>
      <c r="J22" s="157" t="s">
        <v>49</v>
      </c>
      <c r="K22" s="157"/>
      <c r="L22" s="157"/>
      <c r="M22" s="157"/>
      <c r="N22" s="158"/>
      <c r="O22" s="75" t="str">
        <f>IF(O23="","",IF(AND(O23&gt;=5,O23&lt;=24),"○",""))</f>
        <v/>
      </c>
      <c r="P22" s="157" t="s">
        <v>50</v>
      </c>
      <c r="Q22" s="157"/>
      <c r="R22" s="157"/>
      <c r="S22" s="157"/>
      <c r="T22" s="157"/>
      <c r="U22" s="157"/>
      <c r="V22" s="158"/>
      <c r="W22" s="75" t="str">
        <f>IF(O23="","",IF(O23&gt;=25,"○",""))</f>
        <v/>
      </c>
      <c r="X22" s="157" t="s">
        <v>136</v>
      </c>
      <c r="Y22" s="157"/>
      <c r="Z22" s="157"/>
      <c r="AA22" s="157"/>
      <c r="AB22" s="157"/>
      <c r="AC22" s="158"/>
      <c r="AD22" s="67" t="str">
        <f t="shared" si="0"/>
        <v>─</v>
      </c>
      <c r="AE22" s="164" t="str">
        <f>IF($S$2="■",AH22,AG22)</f>
        <v>個々の被験者における治験製品（治験製品に準じて依頼者から提供される再生医療等製品・治験製品と同等に管理を求められる再生医療等製品などを含む）を投与する期間について算定すること。単回投与などのように1週間に満たない投与期間の場合には、「1週」として算定すること。また、投与期間が固定されていない場合には、想定される平均的な投与期間を算定することで構わない。ただし、実際の投与期間が著しく想定を超えた場合には、試験終了時までに追加算定すること。なお、投与期間が長期に渡る場合には、期間を分割して算定しても構わない。</v>
      </c>
      <c r="AG22" s="237" t="s">
        <v>326</v>
      </c>
      <c r="AH22" s="153" t="s">
        <v>327</v>
      </c>
    </row>
    <row r="23" spans="1:34" ht="30" customHeight="1" x14ac:dyDescent="0.15">
      <c r="A23" s="228"/>
      <c r="B23" s="154"/>
      <c r="C23" s="154"/>
      <c r="D23" s="154"/>
      <c r="E23" s="154"/>
      <c r="F23" s="154"/>
      <c r="G23" s="154"/>
      <c r="H23" s="239" t="s">
        <v>137</v>
      </c>
      <c r="I23" s="160"/>
      <c r="J23" s="160"/>
      <c r="K23" s="160"/>
      <c r="L23" s="160"/>
      <c r="M23" s="160"/>
      <c r="N23" s="240"/>
      <c r="O23" s="2"/>
      <c r="P23" s="241" t="s">
        <v>123</v>
      </c>
      <c r="Q23" s="241"/>
      <c r="R23" s="241"/>
      <c r="S23" s="241"/>
      <c r="T23" s="241"/>
      <c r="U23" s="241"/>
      <c r="V23" s="242"/>
      <c r="W23" s="243" t="s">
        <v>124</v>
      </c>
      <c r="X23" s="244"/>
      <c r="Y23" s="244"/>
      <c r="Z23" s="244"/>
      <c r="AA23" s="244"/>
      <c r="AB23" s="244"/>
      <c r="AC23" s="245"/>
      <c r="AD23" s="67">
        <f>IF(O23="",0,IF(O23&lt;50,0,4*ROUNDUP((O23-49)/12,0)))</f>
        <v>0</v>
      </c>
      <c r="AE23" s="165"/>
      <c r="AG23" s="238"/>
      <c r="AH23" s="153"/>
    </row>
    <row r="24" spans="1:34" ht="45" customHeight="1" x14ac:dyDescent="0.15">
      <c r="A24" s="58" t="s">
        <v>16</v>
      </c>
      <c r="B24" s="154" t="s">
        <v>66</v>
      </c>
      <c r="C24" s="154"/>
      <c r="D24" s="154"/>
      <c r="E24" s="154"/>
      <c r="F24" s="154"/>
      <c r="G24" s="154"/>
      <c r="H24" s="58">
        <v>1</v>
      </c>
      <c r="I24" s="12"/>
      <c r="J24" s="157" t="s">
        <v>51</v>
      </c>
      <c r="K24" s="157"/>
      <c r="L24" s="157"/>
      <c r="M24" s="157"/>
      <c r="N24" s="158"/>
      <c r="O24" s="12"/>
      <c r="P24" s="157" t="s">
        <v>280</v>
      </c>
      <c r="Q24" s="157"/>
      <c r="R24" s="157"/>
      <c r="S24" s="157"/>
      <c r="T24" s="157"/>
      <c r="U24" s="157"/>
      <c r="V24" s="158"/>
      <c r="W24" s="12"/>
      <c r="X24" s="157" t="s">
        <v>52</v>
      </c>
      <c r="Y24" s="157"/>
      <c r="Z24" s="157"/>
      <c r="AA24" s="157"/>
      <c r="AB24" s="157"/>
      <c r="AC24" s="158"/>
      <c r="AD24" s="67" t="str">
        <f>IF(AND(I24="",O24="",W24=""),"─",IF(AND(W24="",O24=""),H24,IF(W24="",H24*3,H24*5)))</f>
        <v>─</v>
      </c>
      <c r="AE24" s="71" t="s">
        <v>166</v>
      </c>
    </row>
    <row r="25" spans="1:34" ht="30" customHeight="1" x14ac:dyDescent="0.15">
      <c r="A25" s="58" t="s">
        <v>73</v>
      </c>
      <c r="B25" s="154" t="s">
        <v>20</v>
      </c>
      <c r="C25" s="154"/>
      <c r="D25" s="154"/>
      <c r="E25" s="154"/>
      <c r="F25" s="154"/>
      <c r="G25" s="154"/>
      <c r="H25" s="58">
        <v>1</v>
      </c>
      <c r="I25" s="12"/>
      <c r="J25" s="157" t="s">
        <v>53</v>
      </c>
      <c r="K25" s="157"/>
      <c r="L25" s="157"/>
      <c r="M25" s="157"/>
      <c r="N25" s="158"/>
      <c r="O25" s="12"/>
      <c r="P25" s="157" t="s">
        <v>54</v>
      </c>
      <c r="Q25" s="157"/>
      <c r="R25" s="157"/>
      <c r="S25" s="157"/>
      <c r="T25" s="157"/>
      <c r="U25" s="157"/>
      <c r="V25" s="158"/>
      <c r="W25" s="12"/>
      <c r="X25" s="157" t="s">
        <v>55</v>
      </c>
      <c r="Y25" s="157"/>
      <c r="Z25" s="157"/>
      <c r="AA25" s="157"/>
      <c r="AB25" s="157"/>
      <c r="AC25" s="158"/>
      <c r="AD25" s="67" t="str">
        <f t="shared" si="0"/>
        <v>─</v>
      </c>
      <c r="AE25" s="71" t="s">
        <v>328</v>
      </c>
    </row>
    <row r="26" spans="1:34" ht="20.100000000000001" customHeight="1" x14ac:dyDescent="0.15">
      <c r="A26" s="227" t="s">
        <v>17</v>
      </c>
      <c r="B26" s="184" t="s">
        <v>85</v>
      </c>
      <c r="C26" s="185"/>
      <c r="D26" s="185"/>
      <c r="E26" s="185"/>
      <c r="F26" s="185"/>
      <c r="G26" s="186"/>
      <c r="H26" s="58">
        <v>2</v>
      </c>
      <c r="I26" s="75" t="str">
        <f>IF(O27="","",IF(O27&lt;=4,"○",""))</f>
        <v/>
      </c>
      <c r="J26" s="157" t="s">
        <v>56</v>
      </c>
      <c r="K26" s="157"/>
      <c r="L26" s="157"/>
      <c r="M26" s="157"/>
      <c r="N26" s="158"/>
      <c r="O26" s="75" t="str">
        <f>IF(O27="","",IF(AND(O27&gt;=5,O27&lt;=9),"○",""))</f>
        <v/>
      </c>
      <c r="P26" s="157" t="s">
        <v>57</v>
      </c>
      <c r="Q26" s="157"/>
      <c r="R26" s="157"/>
      <c r="S26" s="157"/>
      <c r="T26" s="157"/>
      <c r="U26" s="157"/>
      <c r="V26" s="158"/>
      <c r="W26" s="75" t="str">
        <f>IF(O27="","",IF(O27&gt;=10,"○",""))</f>
        <v/>
      </c>
      <c r="X26" s="157" t="s">
        <v>86</v>
      </c>
      <c r="Y26" s="157"/>
      <c r="Z26" s="157"/>
      <c r="AA26" s="157"/>
      <c r="AB26" s="157"/>
      <c r="AC26" s="158"/>
      <c r="AD26" s="67" t="str">
        <f t="shared" si="0"/>
        <v>─</v>
      </c>
      <c r="AE26" s="166" t="s">
        <v>329</v>
      </c>
    </row>
    <row r="27" spans="1:34" ht="30" customHeight="1" x14ac:dyDescent="0.15">
      <c r="A27" s="228"/>
      <c r="B27" s="190"/>
      <c r="C27" s="191"/>
      <c r="D27" s="191"/>
      <c r="E27" s="191"/>
      <c r="F27" s="191"/>
      <c r="G27" s="192"/>
      <c r="H27" s="171" t="s">
        <v>126</v>
      </c>
      <c r="I27" s="172"/>
      <c r="J27" s="172"/>
      <c r="K27" s="172"/>
      <c r="L27" s="172"/>
      <c r="M27" s="172"/>
      <c r="N27" s="173"/>
      <c r="O27" s="12"/>
      <c r="P27" s="241" t="s">
        <v>125</v>
      </c>
      <c r="Q27" s="241"/>
      <c r="R27" s="241"/>
      <c r="S27" s="241"/>
      <c r="T27" s="241"/>
      <c r="U27" s="241"/>
      <c r="V27" s="242"/>
      <c r="W27" s="243" t="s">
        <v>124</v>
      </c>
      <c r="X27" s="244"/>
      <c r="Y27" s="244"/>
      <c r="Z27" s="244"/>
      <c r="AA27" s="244"/>
      <c r="AB27" s="244"/>
      <c r="AC27" s="245"/>
      <c r="AD27" s="67">
        <f>IF(O27="",0,IF(O27&lt;12,0,3*ROUNDUP((O27-12)/3,0)))</f>
        <v>0</v>
      </c>
      <c r="AE27" s="167"/>
    </row>
    <row r="28" spans="1:34" ht="30" customHeight="1" x14ac:dyDescent="0.15">
      <c r="A28" s="58" t="s">
        <v>106</v>
      </c>
      <c r="B28" s="154" t="s">
        <v>115</v>
      </c>
      <c r="C28" s="154"/>
      <c r="D28" s="154"/>
      <c r="E28" s="154"/>
      <c r="F28" s="154"/>
      <c r="G28" s="154"/>
      <c r="H28" s="58">
        <v>1</v>
      </c>
      <c r="I28" s="12"/>
      <c r="J28" s="157" t="s">
        <v>112</v>
      </c>
      <c r="K28" s="157"/>
      <c r="L28" s="157"/>
      <c r="M28" s="157"/>
      <c r="N28" s="158"/>
      <c r="O28" s="12"/>
      <c r="P28" s="157" t="s">
        <v>113</v>
      </c>
      <c r="Q28" s="157"/>
      <c r="R28" s="157"/>
      <c r="S28" s="157"/>
      <c r="T28" s="157"/>
      <c r="U28" s="157"/>
      <c r="V28" s="158"/>
      <c r="W28" s="12"/>
      <c r="X28" s="157" t="s">
        <v>114</v>
      </c>
      <c r="Y28" s="157"/>
      <c r="Z28" s="157"/>
      <c r="AA28" s="157"/>
      <c r="AB28" s="157"/>
      <c r="AC28" s="158"/>
      <c r="AD28" s="67" t="str">
        <f>IF(L40&lt;&gt;"",H28*5+N40,IF(AND(I28="",O28="",W28=""),"─",IF(AND(W28="",O28=""),H28,IF(W28="",H28*3,H28*5))))</f>
        <v>─</v>
      </c>
      <c r="AE28" s="71" t="s">
        <v>330</v>
      </c>
    </row>
    <row r="29" spans="1:34" ht="30" customHeight="1" x14ac:dyDescent="0.15">
      <c r="A29" s="58" t="s">
        <v>84</v>
      </c>
      <c r="B29" s="171" t="s">
        <v>78</v>
      </c>
      <c r="C29" s="172"/>
      <c r="D29" s="172"/>
      <c r="E29" s="172"/>
      <c r="F29" s="172"/>
      <c r="G29" s="173"/>
      <c r="H29" s="58">
        <v>1</v>
      </c>
      <c r="I29" s="12"/>
      <c r="J29" s="157" t="s">
        <v>56</v>
      </c>
      <c r="K29" s="157"/>
      <c r="L29" s="157"/>
      <c r="M29" s="157"/>
      <c r="N29" s="158"/>
      <c r="O29" s="12"/>
      <c r="P29" s="157" t="s">
        <v>57</v>
      </c>
      <c r="Q29" s="157"/>
      <c r="R29" s="157"/>
      <c r="S29" s="157"/>
      <c r="T29" s="157"/>
      <c r="U29" s="157"/>
      <c r="V29" s="158"/>
      <c r="W29" s="12"/>
      <c r="X29" s="157" t="s">
        <v>79</v>
      </c>
      <c r="Y29" s="157"/>
      <c r="Z29" s="157"/>
      <c r="AA29" s="157"/>
      <c r="AB29" s="157"/>
      <c r="AC29" s="158"/>
      <c r="AD29" s="67" t="str">
        <f t="shared" si="0"/>
        <v>─</v>
      </c>
      <c r="AE29" s="71" t="s">
        <v>331</v>
      </c>
    </row>
    <row r="30" spans="1:34" ht="39.950000000000003" customHeight="1" x14ac:dyDescent="0.15">
      <c r="A30" s="58" t="s">
        <v>107</v>
      </c>
      <c r="B30" s="236" t="s">
        <v>80</v>
      </c>
      <c r="C30" s="236"/>
      <c r="D30" s="236"/>
      <c r="E30" s="236"/>
      <c r="F30" s="236"/>
      <c r="G30" s="236"/>
      <c r="H30" s="58">
        <v>1</v>
      </c>
      <c r="I30" s="12"/>
      <c r="J30" s="157" t="s">
        <v>58</v>
      </c>
      <c r="K30" s="157"/>
      <c r="L30" s="157"/>
      <c r="M30" s="157"/>
      <c r="N30" s="158"/>
      <c r="O30" s="12"/>
      <c r="P30" s="157" t="s">
        <v>59</v>
      </c>
      <c r="Q30" s="157"/>
      <c r="R30" s="157"/>
      <c r="S30" s="157"/>
      <c r="T30" s="157"/>
      <c r="U30" s="157"/>
      <c r="V30" s="158"/>
      <c r="W30" s="12"/>
      <c r="X30" s="157" t="s">
        <v>60</v>
      </c>
      <c r="Y30" s="157"/>
      <c r="Z30" s="157"/>
      <c r="AA30" s="157"/>
      <c r="AB30" s="157"/>
      <c r="AC30" s="158"/>
      <c r="AD30" s="67" t="str">
        <f>IF(AND(I30="",O30="",W30=""),"─",IF(AND(W30="",O30=""),H30,IF(W30="",H30*3,H30*5)))</f>
        <v>─</v>
      </c>
      <c r="AE30" s="70" t="s">
        <v>332</v>
      </c>
    </row>
    <row r="31" spans="1:34" ht="30" customHeight="1" x14ac:dyDescent="0.15">
      <c r="A31" s="58" t="s">
        <v>108</v>
      </c>
      <c r="B31" s="154" t="s">
        <v>152</v>
      </c>
      <c r="C31" s="154"/>
      <c r="D31" s="154"/>
      <c r="E31" s="154"/>
      <c r="F31" s="154"/>
      <c r="G31" s="154"/>
      <c r="H31" s="58">
        <v>3</v>
      </c>
      <c r="I31" s="229" t="s">
        <v>153</v>
      </c>
      <c r="J31" s="230"/>
      <c r="K31" s="230"/>
      <c r="L31" s="230"/>
      <c r="M31" s="230"/>
      <c r="N31" s="230"/>
      <c r="O31" s="230"/>
      <c r="P31" s="230"/>
      <c r="Q31" s="230"/>
      <c r="R31" s="230"/>
      <c r="S31" s="230"/>
      <c r="T31" s="235"/>
      <c r="U31" s="235"/>
      <c r="V31" s="168" t="s">
        <v>154</v>
      </c>
      <c r="W31" s="168"/>
      <c r="X31" s="168"/>
      <c r="Y31" s="168"/>
      <c r="Z31" s="168"/>
      <c r="AA31" s="168"/>
      <c r="AB31" s="168"/>
      <c r="AC31" s="169"/>
      <c r="AD31" s="67" t="str">
        <f>IF(T31="","─",T31*H31)</f>
        <v>─</v>
      </c>
      <c r="AE31" s="71" t="s">
        <v>333</v>
      </c>
    </row>
    <row r="32" spans="1:34" ht="30" customHeight="1" x14ac:dyDescent="0.15">
      <c r="A32" s="58" t="s">
        <v>109</v>
      </c>
      <c r="B32" s="154" t="s">
        <v>18</v>
      </c>
      <c r="C32" s="154"/>
      <c r="D32" s="154"/>
      <c r="E32" s="154"/>
      <c r="F32" s="154"/>
      <c r="G32" s="154"/>
      <c r="H32" s="58">
        <v>5</v>
      </c>
      <c r="I32" s="170" t="s">
        <v>163</v>
      </c>
      <c r="J32" s="168"/>
      <c r="K32" s="168"/>
      <c r="L32" s="168"/>
      <c r="M32" s="168"/>
      <c r="N32" s="168"/>
      <c r="O32" s="168"/>
      <c r="P32" s="168"/>
      <c r="Q32" s="168"/>
      <c r="R32" s="168"/>
      <c r="S32" s="76" t="s">
        <v>160</v>
      </c>
      <c r="T32" s="235"/>
      <c r="U32" s="235"/>
      <c r="V32" s="168" t="s">
        <v>23</v>
      </c>
      <c r="W32" s="168"/>
      <c r="X32" s="168"/>
      <c r="Y32" s="168"/>
      <c r="Z32" s="168"/>
      <c r="AA32" s="168"/>
      <c r="AB32" s="168"/>
      <c r="AC32" s="169"/>
      <c r="AD32" s="67" t="str">
        <f>IF(T32="","─",T32*H32)</f>
        <v>─</v>
      </c>
      <c r="AE32" s="71" t="s">
        <v>334</v>
      </c>
    </row>
    <row r="33" spans="1:34" ht="30" customHeight="1" x14ac:dyDescent="0.15">
      <c r="A33" s="58" t="s">
        <v>110</v>
      </c>
      <c r="B33" s="154" t="s">
        <v>266</v>
      </c>
      <c r="C33" s="154"/>
      <c r="D33" s="154"/>
      <c r="E33" s="154"/>
      <c r="F33" s="154"/>
      <c r="G33" s="154"/>
      <c r="H33" s="58">
        <v>2</v>
      </c>
      <c r="I33" s="78"/>
      <c r="J33" s="155"/>
      <c r="K33" s="155"/>
      <c r="L33" s="155"/>
      <c r="M33" s="155"/>
      <c r="N33" s="156"/>
      <c r="O33" s="12"/>
      <c r="P33" s="157" t="s">
        <v>267</v>
      </c>
      <c r="Q33" s="157"/>
      <c r="R33" s="157"/>
      <c r="S33" s="157"/>
      <c r="T33" s="157"/>
      <c r="U33" s="157"/>
      <c r="V33" s="158"/>
      <c r="W33" s="12"/>
      <c r="X33" s="159" t="s">
        <v>268</v>
      </c>
      <c r="Y33" s="160"/>
      <c r="Z33" s="160"/>
      <c r="AA33" s="160"/>
      <c r="AB33" s="160"/>
      <c r="AC33" s="161"/>
      <c r="AD33" s="67" t="str">
        <f>IF(AND(I33="",O33="",W33=""),"─",IF(AND(W33="",O33=""),H33,IF(W33="",H33*3,H33*5)))</f>
        <v>─</v>
      </c>
      <c r="AE33" s="71" t="s">
        <v>335</v>
      </c>
    </row>
    <row r="34" spans="1:34" ht="30" customHeight="1" x14ac:dyDescent="0.15">
      <c r="A34" s="58" t="s">
        <v>111</v>
      </c>
      <c r="B34" s="171" t="s">
        <v>151</v>
      </c>
      <c r="C34" s="172"/>
      <c r="D34" s="172"/>
      <c r="E34" s="172"/>
      <c r="F34" s="172"/>
      <c r="G34" s="173"/>
      <c r="H34" s="58">
        <v>1</v>
      </c>
      <c r="I34" s="12"/>
      <c r="J34" s="231" t="s">
        <v>116</v>
      </c>
      <c r="K34" s="231"/>
      <c r="L34" s="231"/>
      <c r="M34" s="231"/>
      <c r="N34" s="232"/>
      <c r="O34" s="78"/>
      <c r="P34" s="155"/>
      <c r="Q34" s="155"/>
      <c r="R34" s="155"/>
      <c r="S34" s="155"/>
      <c r="T34" s="155"/>
      <c r="U34" s="155"/>
      <c r="V34" s="156"/>
      <c r="W34" s="79"/>
      <c r="X34" s="155"/>
      <c r="Y34" s="155"/>
      <c r="Z34" s="155"/>
      <c r="AA34" s="155"/>
      <c r="AB34" s="155"/>
      <c r="AC34" s="156"/>
      <c r="AD34" s="67" t="str">
        <f>IF(AND(I34="",O34="",W34=""),"─",IF(AND(W34="",O34=""),H34,IF(W34="",H34*3,H34*5)))</f>
        <v>─</v>
      </c>
      <c r="AE34" s="71" t="s">
        <v>336</v>
      </c>
    </row>
    <row r="35" spans="1:34" ht="30" customHeight="1" x14ac:dyDescent="0.15">
      <c r="A35" s="58" t="s">
        <v>130</v>
      </c>
      <c r="B35" s="171" t="s">
        <v>128</v>
      </c>
      <c r="C35" s="172"/>
      <c r="D35" s="172"/>
      <c r="E35" s="172"/>
      <c r="F35" s="172"/>
      <c r="G35" s="173"/>
      <c r="H35" s="58">
        <v>1</v>
      </c>
      <c r="I35" s="12"/>
      <c r="J35" s="231" t="s">
        <v>129</v>
      </c>
      <c r="K35" s="231"/>
      <c r="L35" s="231"/>
      <c r="M35" s="231"/>
      <c r="N35" s="232"/>
      <c r="O35" s="78"/>
      <c r="P35" s="155"/>
      <c r="Q35" s="155"/>
      <c r="R35" s="155"/>
      <c r="S35" s="155"/>
      <c r="T35" s="155"/>
      <c r="U35" s="155"/>
      <c r="V35" s="156"/>
      <c r="W35" s="79"/>
      <c r="X35" s="155"/>
      <c r="Y35" s="155"/>
      <c r="Z35" s="155"/>
      <c r="AA35" s="155"/>
      <c r="AB35" s="155"/>
      <c r="AC35" s="156"/>
      <c r="AD35" s="67" t="str">
        <f>IF(AND(I35="",O35="",W35=""),"─",IF(AND(W35="",O35=""),H35,IF(W35="",H35*3,H35*5)))</f>
        <v>─</v>
      </c>
      <c r="AE35" s="71" t="s">
        <v>337</v>
      </c>
    </row>
    <row r="36" spans="1:34" ht="30" customHeight="1" x14ac:dyDescent="0.15">
      <c r="A36" s="58" t="s">
        <v>134</v>
      </c>
      <c r="B36" s="171" t="s">
        <v>147</v>
      </c>
      <c r="C36" s="172"/>
      <c r="D36" s="172"/>
      <c r="E36" s="172"/>
      <c r="F36" s="172"/>
      <c r="G36" s="173"/>
      <c r="H36" s="58">
        <v>1</v>
      </c>
      <c r="I36" s="78"/>
      <c r="J36" s="155"/>
      <c r="K36" s="155"/>
      <c r="L36" s="155"/>
      <c r="M36" s="155"/>
      <c r="N36" s="156"/>
      <c r="O36" s="12"/>
      <c r="P36" s="231" t="s">
        <v>116</v>
      </c>
      <c r="Q36" s="231"/>
      <c r="R36" s="231"/>
      <c r="S36" s="231"/>
      <c r="T36" s="231"/>
      <c r="U36" s="231"/>
      <c r="V36" s="232"/>
      <c r="W36" s="78"/>
      <c r="X36" s="233"/>
      <c r="Y36" s="233"/>
      <c r="Z36" s="233"/>
      <c r="AA36" s="233"/>
      <c r="AB36" s="233"/>
      <c r="AC36" s="234"/>
      <c r="AD36" s="67" t="str">
        <f>IF(AND(I36="",O36="",W36=""),"─",IF(AND(W36="",O36=""),H36,IF(W36="",H36*3,H36*5)))</f>
        <v>─</v>
      </c>
      <c r="AE36" s="71" t="str">
        <f>IF($S$2="■",AH36,AG36)</f>
        <v>治験責任医師又は治験分担医師が、試験参加に際してGCP又はEDC、IXRS、評価方法等のトレーニングなどを要する場合に算定すること。</v>
      </c>
      <c r="AG36" s="71" t="s">
        <v>338</v>
      </c>
      <c r="AH36" s="60" t="s">
        <v>339</v>
      </c>
    </row>
    <row r="37" spans="1:34" ht="30" customHeight="1" x14ac:dyDescent="0.15">
      <c r="A37" s="80" t="s">
        <v>269</v>
      </c>
      <c r="B37" s="154" t="s">
        <v>270</v>
      </c>
      <c r="C37" s="154"/>
      <c r="D37" s="154"/>
      <c r="E37" s="154"/>
      <c r="F37" s="154"/>
      <c r="G37" s="154"/>
      <c r="H37" s="58">
        <v>2</v>
      </c>
      <c r="I37" s="12"/>
      <c r="J37" s="157" t="s">
        <v>271</v>
      </c>
      <c r="K37" s="157"/>
      <c r="L37" s="157"/>
      <c r="M37" s="157"/>
      <c r="N37" s="158"/>
      <c r="O37" s="69"/>
      <c r="P37" s="162"/>
      <c r="Q37" s="162"/>
      <c r="R37" s="162"/>
      <c r="S37" s="162"/>
      <c r="T37" s="162"/>
      <c r="U37" s="162"/>
      <c r="V37" s="163"/>
      <c r="W37" s="12"/>
      <c r="X37" s="157" t="s">
        <v>272</v>
      </c>
      <c r="Y37" s="157"/>
      <c r="Z37" s="157"/>
      <c r="AA37" s="157"/>
      <c r="AB37" s="157"/>
      <c r="AC37" s="158"/>
      <c r="AD37" s="67" t="str">
        <f>IF(S3="■","",IF(AND(I37="",O37="",W37=""),"─",IF(AND(W37="",O37=""),H37,IF(W37="",H37*3,H37*5))))</f>
        <v>─</v>
      </c>
      <c r="AE37" s="71" t="str">
        <f>IF($S$2="■",AH37,AG37)</f>
        <v>試験の開発相について算定すること。なお、試験が異なる相にまたがる場合には、ポイントが高くなるように算定すること。</v>
      </c>
      <c r="AG37" s="71" t="s">
        <v>273</v>
      </c>
      <c r="AH37" s="72" t="s">
        <v>274</v>
      </c>
    </row>
    <row r="38" spans="1:34" ht="30" customHeight="1" x14ac:dyDescent="0.15">
      <c r="A38" s="154" t="s">
        <v>61</v>
      </c>
      <c r="B38" s="154"/>
      <c r="C38" s="154"/>
      <c r="D38" s="154"/>
      <c r="E38" s="154"/>
      <c r="F38" s="154"/>
      <c r="G38" s="154"/>
      <c r="H38" s="210" t="s">
        <v>275</v>
      </c>
      <c r="I38" s="211"/>
      <c r="J38" s="211"/>
      <c r="K38" s="211"/>
      <c r="L38" s="211"/>
      <c r="M38" s="211"/>
      <c r="N38" s="211"/>
      <c r="O38" s="211"/>
      <c r="P38" s="211"/>
      <c r="Q38" s="211"/>
      <c r="R38" s="211"/>
      <c r="S38" s="211"/>
      <c r="T38" s="211"/>
      <c r="U38" s="211"/>
      <c r="V38" s="211"/>
      <c r="W38" s="211"/>
      <c r="X38" s="211"/>
      <c r="Y38" s="211"/>
      <c r="Z38" s="211"/>
      <c r="AA38" s="211"/>
      <c r="AB38" s="211"/>
      <c r="AC38" s="212"/>
      <c r="AD38" s="67">
        <f>SUM(AD13:AD36)</f>
        <v>12</v>
      </c>
      <c r="AE38" s="80"/>
    </row>
    <row r="39" spans="1:34" ht="20.100000000000001" hidden="1" customHeight="1" x14ac:dyDescent="0.15">
      <c r="A39" s="81"/>
      <c r="K39" s="82"/>
      <c r="L39" s="83"/>
      <c r="M39" s="72"/>
      <c r="N39" s="84"/>
      <c r="O39" s="72"/>
      <c r="AF39" s="85"/>
    </row>
    <row r="40" spans="1:34" ht="20.100000000000001" hidden="1" customHeight="1" x14ac:dyDescent="0.15">
      <c r="A40" s="72"/>
      <c r="C40" s="48" t="s">
        <v>140</v>
      </c>
    </row>
    <row r="42" spans="1:34" ht="20.100000000000001" customHeight="1" x14ac:dyDescent="0.15">
      <c r="B42" s="72"/>
    </row>
  </sheetData>
  <sheetProtection sheet="1" objects="1" scenarios="1" formatCells="0" formatRows="0"/>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36">
    <mergeCell ref="AG22:AG23"/>
    <mergeCell ref="H23:N23"/>
    <mergeCell ref="B21:G21"/>
    <mergeCell ref="J21:N21"/>
    <mergeCell ref="P27:V27"/>
    <mergeCell ref="W27:AC27"/>
    <mergeCell ref="X25:AC25"/>
    <mergeCell ref="P23:V23"/>
    <mergeCell ref="W23:AC23"/>
    <mergeCell ref="B32:G32"/>
    <mergeCell ref="B29:G29"/>
    <mergeCell ref="J28:N28"/>
    <mergeCell ref="A38:G38"/>
    <mergeCell ref="X34:AC34"/>
    <mergeCell ref="B36:G36"/>
    <mergeCell ref="J36:N36"/>
    <mergeCell ref="P36:V36"/>
    <mergeCell ref="X36:AC36"/>
    <mergeCell ref="B35:G35"/>
    <mergeCell ref="J35:N35"/>
    <mergeCell ref="P35:V35"/>
    <mergeCell ref="X35:AC35"/>
    <mergeCell ref="B34:G34"/>
    <mergeCell ref="J34:N34"/>
    <mergeCell ref="P34:V34"/>
    <mergeCell ref="J30:N30"/>
    <mergeCell ref="P30:V30"/>
    <mergeCell ref="X30:AC30"/>
    <mergeCell ref="T31:U31"/>
    <mergeCell ref="T32:U32"/>
    <mergeCell ref="V31:AC31"/>
    <mergeCell ref="B28:G28"/>
    <mergeCell ref="B30:G30"/>
    <mergeCell ref="A26:A27"/>
    <mergeCell ref="B26:G27"/>
    <mergeCell ref="J26:N26"/>
    <mergeCell ref="P26:V26"/>
    <mergeCell ref="X26:AC26"/>
    <mergeCell ref="H27:N27"/>
    <mergeCell ref="I31:S31"/>
    <mergeCell ref="B31:G31"/>
    <mergeCell ref="J19:N19"/>
    <mergeCell ref="P19:V19"/>
    <mergeCell ref="X19:AC19"/>
    <mergeCell ref="J20:N20"/>
    <mergeCell ref="P20:V20"/>
    <mergeCell ref="X20:AC20"/>
    <mergeCell ref="A22:A23"/>
    <mergeCell ref="B22:G23"/>
    <mergeCell ref="B19:G19"/>
    <mergeCell ref="B20:G20"/>
    <mergeCell ref="H38:AC38"/>
    <mergeCell ref="X29:AC29"/>
    <mergeCell ref="P21:V21"/>
    <mergeCell ref="X21:AC21"/>
    <mergeCell ref="P22:V22"/>
    <mergeCell ref="X22:AC22"/>
    <mergeCell ref="L1:N1"/>
    <mergeCell ref="O1:AD1"/>
    <mergeCell ref="L2:N3"/>
    <mergeCell ref="P2:R2"/>
    <mergeCell ref="T2:W2"/>
    <mergeCell ref="Y2:AD2"/>
    <mergeCell ref="P3:AD3"/>
    <mergeCell ref="J22:N22"/>
    <mergeCell ref="AD11:AD12"/>
    <mergeCell ref="J12:L12"/>
    <mergeCell ref="P12:S12"/>
    <mergeCell ref="X12:Z12"/>
    <mergeCell ref="B13:G13"/>
    <mergeCell ref="A5:AD5"/>
    <mergeCell ref="R4:T4"/>
    <mergeCell ref="V4:Y4"/>
    <mergeCell ref="Z4:AA4"/>
    <mergeCell ref="AB4:AD4"/>
    <mergeCell ref="J13:N13"/>
    <mergeCell ref="P13:V13"/>
    <mergeCell ref="X13:AC13"/>
    <mergeCell ref="A8:AD8"/>
    <mergeCell ref="A4:P4"/>
    <mergeCell ref="A10:G12"/>
    <mergeCell ref="H10:H12"/>
    <mergeCell ref="I10:AD10"/>
    <mergeCell ref="I11:N11"/>
    <mergeCell ref="A6:G6"/>
    <mergeCell ref="H6:N6"/>
    <mergeCell ref="O6:V6"/>
    <mergeCell ref="W6:AD6"/>
    <mergeCell ref="A7:G7"/>
    <mergeCell ref="H7:AD7"/>
    <mergeCell ref="O11:V11"/>
    <mergeCell ref="W11:AC11"/>
    <mergeCell ref="B14:G14"/>
    <mergeCell ref="J14:N14"/>
    <mergeCell ref="P14:V14"/>
    <mergeCell ref="X14:AC14"/>
    <mergeCell ref="B18:G18"/>
    <mergeCell ref="J18:N18"/>
    <mergeCell ref="P18:V18"/>
    <mergeCell ref="X18:AC18"/>
    <mergeCell ref="B15:G15"/>
    <mergeCell ref="J15:N15"/>
    <mergeCell ref="P15:V15"/>
    <mergeCell ref="X15:AC15"/>
    <mergeCell ref="B16:G16"/>
    <mergeCell ref="J16:N16"/>
    <mergeCell ref="P16:V16"/>
    <mergeCell ref="X16:AC16"/>
    <mergeCell ref="X17:AC17"/>
    <mergeCell ref="B17:G17"/>
    <mergeCell ref="J17:N17"/>
    <mergeCell ref="P17:V17"/>
    <mergeCell ref="AH22:AH23"/>
    <mergeCell ref="B33:G33"/>
    <mergeCell ref="J33:N33"/>
    <mergeCell ref="P33:V33"/>
    <mergeCell ref="X33:AC33"/>
    <mergeCell ref="B37:G37"/>
    <mergeCell ref="J37:N37"/>
    <mergeCell ref="P37:V37"/>
    <mergeCell ref="X37:AC37"/>
    <mergeCell ref="AE22:AE23"/>
    <mergeCell ref="AE26:AE27"/>
    <mergeCell ref="V32:AC32"/>
    <mergeCell ref="I32:R32"/>
    <mergeCell ref="P28:V28"/>
    <mergeCell ref="X28:AC28"/>
    <mergeCell ref="J29:N29"/>
    <mergeCell ref="P29:V29"/>
    <mergeCell ref="B24:G24"/>
    <mergeCell ref="J24:N24"/>
    <mergeCell ref="P24:V24"/>
    <mergeCell ref="X24:AC24"/>
    <mergeCell ref="B25:G25"/>
    <mergeCell ref="J25:N25"/>
    <mergeCell ref="P25:V25"/>
  </mergeCells>
  <phoneticPr fontId="2"/>
  <dataValidations count="2">
    <dataValidation type="list" allowBlank="1" showInputMessage="1" showErrorMessage="1" sqref="I13:I16 O33 W33 I24:I25 I28:I30 I34:I35 I19:I21 O13:O17 O20:O21 O28:O30 W28:W30 W24:W25 W20:W21 W15:W18 W13 O24:O25 O36" xr:uid="{00000000-0002-0000-0000-000000000000}">
      <formula1>$C$39:$C$40</formula1>
    </dataValidation>
    <dataValidation type="list" allowBlank="1" showInputMessage="1" showErrorMessage="1" sqref="I37 W37" xr:uid="{00000000-0002-0000-0000-000001000000}">
      <formula1>$C$38:$C$39</formula1>
    </dataValidation>
  </dataValidations>
  <printOptions horizontalCentered="1"/>
  <pageMargins left="0.62992125984251968" right="0.23622047244094491" top="0.35433070866141736" bottom="0.55118110236220474" header="0.31496062992125984" footer="0.31496062992125984"/>
  <pageSetup paperSize="9" scale="87" orientation="portrait" cellComments="asDisplayed" horizontalDpi="1200" verticalDpi="1200" r:id="rId2"/>
  <headerFooter alignWithMargins="0">
    <oddFooter>&amp;R20250822</oddFooter>
  </headerFooter>
  <ignoredErrors>
    <ignoredError sqref="AD23" formula="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36"/>
  <sheetViews>
    <sheetView zoomScale="70" zoomScaleNormal="70" zoomScaleSheetLayoutView="70" workbookViewId="0">
      <selection activeCell="O20" sqref="O20"/>
    </sheetView>
  </sheetViews>
  <sheetFormatPr defaultColWidth="3.625" defaultRowHeight="20.100000000000001" customHeight="1" x14ac:dyDescent="0.15"/>
  <cols>
    <col min="1" max="1" width="2.875" style="59" bestFit="1" customWidth="1"/>
    <col min="2" max="7" width="3.625" style="59"/>
    <col min="8" max="8" width="7.25" style="59" bestFit="1" customWidth="1"/>
    <col min="9" max="9" width="3.875" style="59" customWidth="1"/>
    <col min="10" max="11" width="3.625" style="59"/>
    <col min="12" max="12" width="4.125" style="59" bestFit="1" customWidth="1"/>
    <col min="13" max="13" width="3.875" style="59" bestFit="1" customWidth="1"/>
    <col min="14" max="14" width="3.625" style="59"/>
    <col min="15" max="15" width="4.625" style="59" bestFit="1" customWidth="1"/>
    <col min="16" max="16" width="3.625" style="59"/>
    <col min="17" max="18" width="2.125" style="59" customWidth="1"/>
    <col min="19" max="19" width="3.625" style="59"/>
    <col min="20" max="20" width="4.125" style="59" bestFit="1" customWidth="1"/>
    <col min="21" max="22" width="2.125" style="59" customWidth="1"/>
    <col min="23" max="25" width="3.625" style="59"/>
    <col min="26" max="27" width="2.125" style="59" customWidth="1"/>
    <col min="28" max="28" width="3.875" style="59" bestFit="1" customWidth="1"/>
    <col min="29" max="29" width="3.625" style="59"/>
    <col min="30" max="30" width="4.625" style="59" customWidth="1"/>
    <col min="31" max="31" width="100.625" style="59" customWidth="1"/>
    <col min="32" max="32" width="3.625" style="59"/>
    <col min="33" max="34" width="15.625" style="59" customWidth="1"/>
    <col min="35" max="36" width="3.625" style="59" customWidth="1"/>
    <col min="37" max="238" width="3.625" style="59"/>
    <col min="239" max="239" width="2.875" style="59" bestFit="1" customWidth="1"/>
    <col min="240" max="494" width="3.625" style="59"/>
    <col min="495" max="495" width="2.875" style="59" bestFit="1" customWidth="1"/>
    <col min="496" max="750" width="3.625" style="59"/>
    <col min="751" max="751" width="2.875" style="59" bestFit="1" customWidth="1"/>
    <col min="752" max="1006" width="3.625" style="59"/>
    <col min="1007" max="1007" width="2.875" style="59" bestFit="1" customWidth="1"/>
    <col min="1008" max="1262" width="3.625" style="59"/>
    <col min="1263" max="1263" width="2.875" style="59" bestFit="1" customWidth="1"/>
    <col min="1264" max="1518" width="3.625" style="59"/>
    <col min="1519" max="1519" width="2.875" style="59" bestFit="1" customWidth="1"/>
    <col min="1520" max="1774" width="3.625" style="59"/>
    <col min="1775" max="1775" width="2.875" style="59" bestFit="1" customWidth="1"/>
    <col min="1776" max="2030" width="3.625" style="59"/>
    <col min="2031" max="2031" width="2.875" style="59" bestFit="1" customWidth="1"/>
    <col min="2032" max="2286" width="3.625" style="59"/>
    <col min="2287" max="2287" width="2.875" style="59" bestFit="1" customWidth="1"/>
    <col min="2288" max="2542" width="3.625" style="59"/>
    <col min="2543" max="2543" width="2.875" style="59" bestFit="1" customWidth="1"/>
    <col min="2544" max="2798" width="3.625" style="59"/>
    <col min="2799" max="2799" width="2.875" style="59" bestFit="1" customWidth="1"/>
    <col min="2800" max="3054" width="3.625" style="59"/>
    <col min="3055" max="3055" width="2.875" style="59" bestFit="1" customWidth="1"/>
    <col min="3056" max="3310" width="3.625" style="59"/>
    <col min="3311" max="3311" width="2.875" style="59" bestFit="1" customWidth="1"/>
    <col min="3312" max="3566" width="3.625" style="59"/>
    <col min="3567" max="3567" width="2.875" style="59" bestFit="1" customWidth="1"/>
    <col min="3568" max="3822" width="3.625" style="59"/>
    <col min="3823" max="3823" width="2.875" style="59" bestFit="1" customWidth="1"/>
    <col min="3824" max="4078" width="3.625" style="59"/>
    <col min="4079" max="4079" width="2.875" style="59" bestFit="1" customWidth="1"/>
    <col min="4080" max="4334" width="3.625" style="59"/>
    <col min="4335" max="4335" width="2.875" style="59" bestFit="1" customWidth="1"/>
    <col min="4336" max="4590" width="3.625" style="59"/>
    <col min="4591" max="4591" width="2.875" style="59" bestFit="1" customWidth="1"/>
    <col min="4592" max="4846" width="3.625" style="59"/>
    <col min="4847" max="4847" width="2.875" style="59" bestFit="1" customWidth="1"/>
    <col min="4848" max="5102" width="3.625" style="59"/>
    <col min="5103" max="5103" width="2.875" style="59" bestFit="1" customWidth="1"/>
    <col min="5104" max="5358" width="3.625" style="59"/>
    <col min="5359" max="5359" width="2.875" style="59" bestFit="1" customWidth="1"/>
    <col min="5360" max="5614" width="3.625" style="59"/>
    <col min="5615" max="5615" width="2.875" style="59" bestFit="1" customWidth="1"/>
    <col min="5616" max="5870" width="3.625" style="59"/>
    <col min="5871" max="5871" width="2.875" style="59" bestFit="1" customWidth="1"/>
    <col min="5872" max="6126" width="3.625" style="59"/>
    <col min="6127" max="6127" width="2.875" style="59" bestFit="1" customWidth="1"/>
    <col min="6128" max="6382" width="3.625" style="59"/>
    <col min="6383" max="6383" width="2.875" style="59" bestFit="1" customWidth="1"/>
    <col min="6384" max="6638" width="3.625" style="59"/>
    <col min="6639" max="6639" width="2.875" style="59" bestFit="1" customWidth="1"/>
    <col min="6640" max="6894" width="3.625" style="59"/>
    <col min="6895" max="6895" width="2.875" style="59" bestFit="1" customWidth="1"/>
    <col min="6896" max="7150" width="3.625" style="59"/>
    <col min="7151" max="7151" width="2.875" style="59" bestFit="1" customWidth="1"/>
    <col min="7152" max="7406" width="3.625" style="59"/>
    <col min="7407" max="7407" width="2.875" style="59" bestFit="1" customWidth="1"/>
    <col min="7408" max="7662" width="3.625" style="59"/>
    <col min="7663" max="7663" width="2.875" style="59" bestFit="1" customWidth="1"/>
    <col min="7664" max="7918" width="3.625" style="59"/>
    <col min="7919" max="7919" width="2.875" style="59" bestFit="1" customWidth="1"/>
    <col min="7920" max="8174" width="3.625" style="59"/>
    <col min="8175" max="8175" width="2.875" style="59" bestFit="1" customWidth="1"/>
    <col min="8176" max="8430" width="3.625" style="59"/>
    <col min="8431" max="8431" width="2.875" style="59" bestFit="1" customWidth="1"/>
    <col min="8432" max="8686" width="3.625" style="59"/>
    <col min="8687" max="8687" width="2.875" style="59" bestFit="1" customWidth="1"/>
    <col min="8688" max="8942" width="3.625" style="59"/>
    <col min="8943" max="8943" width="2.875" style="59" bestFit="1" customWidth="1"/>
    <col min="8944" max="9198" width="3.625" style="59"/>
    <col min="9199" max="9199" width="2.875" style="59" bestFit="1" customWidth="1"/>
    <col min="9200" max="9454" width="3.625" style="59"/>
    <col min="9455" max="9455" width="2.875" style="59" bestFit="1" customWidth="1"/>
    <col min="9456" max="9710" width="3.625" style="59"/>
    <col min="9711" max="9711" width="2.875" style="59" bestFit="1" customWidth="1"/>
    <col min="9712" max="9966" width="3.625" style="59"/>
    <col min="9967" max="9967" width="2.875" style="59" bestFit="1" customWidth="1"/>
    <col min="9968" max="10222" width="3.625" style="59"/>
    <col min="10223" max="10223" width="2.875" style="59" bestFit="1" customWidth="1"/>
    <col min="10224" max="10478" width="3.625" style="59"/>
    <col min="10479" max="10479" width="2.875" style="59" bestFit="1" customWidth="1"/>
    <col min="10480" max="10734" width="3.625" style="59"/>
    <col min="10735" max="10735" width="2.875" style="59" bestFit="1" customWidth="1"/>
    <col min="10736" max="10990" width="3.625" style="59"/>
    <col min="10991" max="10991" width="2.875" style="59" bestFit="1" customWidth="1"/>
    <col min="10992" max="11246" width="3.625" style="59"/>
    <col min="11247" max="11247" width="2.875" style="59" bestFit="1" customWidth="1"/>
    <col min="11248" max="11502" width="3.625" style="59"/>
    <col min="11503" max="11503" width="2.875" style="59" bestFit="1" customWidth="1"/>
    <col min="11504" max="11758" width="3.625" style="59"/>
    <col min="11759" max="11759" width="2.875" style="59" bestFit="1" customWidth="1"/>
    <col min="11760" max="12014" width="3.625" style="59"/>
    <col min="12015" max="12015" width="2.875" style="59" bestFit="1" customWidth="1"/>
    <col min="12016" max="12270" width="3.625" style="59"/>
    <col min="12271" max="12271" width="2.875" style="59" bestFit="1" customWidth="1"/>
    <col min="12272" max="12526" width="3.625" style="59"/>
    <col min="12527" max="12527" width="2.875" style="59" bestFit="1" customWidth="1"/>
    <col min="12528" max="12782" width="3.625" style="59"/>
    <col min="12783" max="12783" width="2.875" style="59" bestFit="1" customWidth="1"/>
    <col min="12784" max="13038" width="3.625" style="59"/>
    <col min="13039" max="13039" width="2.875" style="59" bestFit="1" customWidth="1"/>
    <col min="13040" max="13294" width="3.625" style="59"/>
    <col min="13295" max="13295" width="2.875" style="59" bestFit="1" customWidth="1"/>
    <col min="13296" max="13550" width="3.625" style="59"/>
    <col min="13551" max="13551" width="2.875" style="59" bestFit="1" customWidth="1"/>
    <col min="13552" max="13806" width="3.625" style="59"/>
    <col min="13807" max="13807" width="2.875" style="59" bestFit="1" customWidth="1"/>
    <col min="13808" max="14062" width="3.625" style="59"/>
    <col min="14063" max="14063" width="2.875" style="59" bestFit="1" customWidth="1"/>
    <col min="14064" max="14318" width="3.625" style="59"/>
    <col min="14319" max="14319" width="2.875" style="59" bestFit="1" customWidth="1"/>
    <col min="14320" max="14574" width="3.625" style="59"/>
    <col min="14575" max="14575" width="2.875" style="59" bestFit="1" customWidth="1"/>
    <col min="14576" max="14830" width="3.625" style="59"/>
    <col min="14831" max="14831" width="2.875" style="59" bestFit="1" customWidth="1"/>
    <col min="14832" max="15086" width="3.625" style="59"/>
    <col min="15087" max="15087" width="2.875" style="59" bestFit="1" customWidth="1"/>
    <col min="15088" max="15342" width="3.625" style="59"/>
    <col min="15343" max="15343" width="2.875" style="59" bestFit="1" customWidth="1"/>
    <col min="15344" max="15598" width="3.625" style="59"/>
    <col min="15599" max="15599" width="2.875" style="59" bestFit="1" customWidth="1"/>
    <col min="15600" max="15854" width="3.625" style="59"/>
    <col min="15855" max="15855" width="2.875" style="59" bestFit="1" customWidth="1"/>
    <col min="15856" max="16110" width="3.625" style="59"/>
    <col min="16111" max="16111" width="2.875" style="59" bestFit="1" customWidth="1"/>
    <col min="16112" max="16384" width="3.625" style="59"/>
  </cols>
  <sheetData>
    <row r="1" spans="1:34" s="86" customFormat="1" ht="19.899999999999999" customHeight="1" x14ac:dyDescent="0.15">
      <c r="A1" s="52" t="s">
        <v>281</v>
      </c>
      <c r="F1" s="87"/>
      <c r="G1" s="87"/>
      <c r="H1" s="87"/>
      <c r="I1" s="87"/>
      <c r="J1" s="87"/>
      <c r="L1" s="271" t="s">
        <v>24</v>
      </c>
      <c r="M1" s="272"/>
      <c r="N1" s="273"/>
      <c r="O1" s="258" t="str">
        <f>IF(YC書式522_経費内訳書・再生医療!O1="","",YC書式522_経費内訳書・再生医療!O1)</f>
        <v/>
      </c>
      <c r="P1" s="259"/>
      <c r="Q1" s="259"/>
      <c r="R1" s="259"/>
      <c r="S1" s="259"/>
      <c r="T1" s="259"/>
      <c r="U1" s="259"/>
      <c r="V1" s="259"/>
      <c r="W1" s="259"/>
      <c r="X1" s="259"/>
      <c r="Y1" s="259"/>
      <c r="Z1" s="259"/>
      <c r="AA1" s="259"/>
      <c r="AB1" s="259"/>
      <c r="AC1" s="259"/>
      <c r="AD1" s="260"/>
    </row>
    <row r="2" spans="1:34" s="86" customFormat="1" ht="13.5" x14ac:dyDescent="0.15">
      <c r="A2" s="90"/>
      <c r="F2" s="87"/>
      <c r="G2" s="87"/>
      <c r="L2" s="261" t="s">
        <v>74</v>
      </c>
      <c r="M2" s="262"/>
      <c r="N2" s="263"/>
      <c r="O2" s="88" t="str">
        <f>YC書式522_経費内訳書・再生医療!O2</f>
        <v>■</v>
      </c>
      <c r="P2" s="267" t="str">
        <f>YC書式522_経費内訳書・再生医療!P2</f>
        <v>治験</v>
      </c>
      <c r="Q2" s="267"/>
      <c r="R2" s="267"/>
      <c r="S2" s="89" t="str">
        <f>YC書式522_経費内訳書・再生医療!S2</f>
        <v>□</v>
      </c>
      <c r="T2" s="267" t="str">
        <f>YC書式522_経費内訳書・再生医療!T2</f>
        <v>拡大治験</v>
      </c>
      <c r="U2" s="267"/>
      <c r="V2" s="267"/>
      <c r="W2" s="267"/>
      <c r="X2" s="89" t="str">
        <f>YC書式522_経費内訳書・再生医療!X2</f>
        <v>□</v>
      </c>
      <c r="Y2" s="267" t="str">
        <f>YC書式522_経費内訳書・再生医療!Y2</f>
        <v>製造販売後臨床試験</v>
      </c>
      <c r="Z2" s="267"/>
      <c r="AA2" s="267"/>
      <c r="AB2" s="267"/>
      <c r="AC2" s="267"/>
      <c r="AD2" s="268"/>
      <c r="AE2" s="92"/>
    </row>
    <row r="3" spans="1:34" s="86" customFormat="1" ht="12.95" customHeight="1" x14ac:dyDescent="0.15">
      <c r="A3" s="90"/>
      <c r="F3" s="87"/>
      <c r="G3" s="87"/>
      <c r="L3" s="264"/>
      <c r="M3" s="265"/>
      <c r="N3" s="266"/>
      <c r="O3" s="89" t="str">
        <f>YC書式522_経費内訳書・再生医療!O3</f>
        <v>■</v>
      </c>
      <c r="P3" s="267" t="str">
        <f>YC書式522_経費内訳書・再生医療!P3</f>
        <v>再生医療等製品</v>
      </c>
      <c r="Q3" s="267"/>
      <c r="R3" s="267"/>
      <c r="S3" s="267"/>
      <c r="T3" s="267"/>
      <c r="U3" s="267"/>
      <c r="V3" s="267"/>
      <c r="W3" s="267"/>
      <c r="X3" s="267"/>
      <c r="Y3" s="267"/>
      <c r="Z3" s="267"/>
      <c r="AA3" s="267"/>
      <c r="AB3" s="267"/>
      <c r="AC3" s="267"/>
      <c r="AD3" s="268"/>
      <c r="AE3" s="94"/>
    </row>
    <row r="4" spans="1:34" s="57" customFormat="1" ht="26.25" customHeight="1" x14ac:dyDescent="0.15">
      <c r="A4" s="183" t="s">
        <v>285</v>
      </c>
      <c r="B4" s="183"/>
      <c r="C4" s="183"/>
      <c r="D4" s="183"/>
      <c r="E4" s="183"/>
      <c r="F4" s="183"/>
      <c r="G4" s="183"/>
      <c r="H4" s="183"/>
      <c r="I4" s="183"/>
      <c r="J4" s="183"/>
      <c r="K4" s="183"/>
      <c r="L4" s="183"/>
      <c r="M4" s="183"/>
      <c r="N4" s="183"/>
      <c r="O4" s="183"/>
      <c r="P4" s="183"/>
      <c r="Q4" s="55" t="str">
        <f>YC書式522_経費内訳書・再生医療!P4</f>
        <v>■</v>
      </c>
      <c r="R4" s="179" t="s">
        <v>201</v>
      </c>
      <c r="S4" s="179"/>
      <c r="T4" s="179"/>
      <c r="U4" s="55" t="str">
        <f>YC書式522_経費内訳書・再生医療!T4</f>
        <v>□</v>
      </c>
      <c r="V4" s="179" t="s">
        <v>200</v>
      </c>
      <c r="W4" s="179"/>
      <c r="X4" s="179"/>
      <c r="Y4" s="179"/>
      <c r="Z4" s="180" t="s">
        <v>198</v>
      </c>
      <c r="AA4" s="180"/>
      <c r="AB4" s="269" t="str">
        <f>YC書式522_経費内訳書・再生医療!AB4</f>
        <v>202●/●/●</v>
      </c>
      <c r="AC4" s="270"/>
      <c r="AD4" s="270"/>
    </row>
    <row r="5" spans="1:34" s="57" customFormat="1" ht="9.9499999999999993" customHeight="1" x14ac:dyDescent="0.15">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4" ht="25.5" customHeight="1" x14ac:dyDescent="0.15">
      <c r="A6" s="280" t="s">
        <v>283</v>
      </c>
      <c r="B6" s="280"/>
      <c r="C6" s="280"/>
      <c r="D6" s="280"/>
      <c r="E6" s="280"/>
      <c r="F6" s="280"/>
      <c r="G6" s="280"/>
      <c r="H6" s="279" t="str">
        <f>IF(YC書式522_経費内訳書・再生医療!H5="","",YC書式522_経費内訳書・再生医療!H5)</f>
        <v/>
      </c>
      <c r="I6" s="279"/>
      <c r="J6" s="279"/>
      <c r="K6" s="279"/>
      <c r="L6" s="279"/>
      <c r="M6" s="279"/>
      <c r="N6" s="279"/>
      <c r="O6" s="257" t="s">
        <v>26</v>
      </c>
      <c r="P6" s="257"/>
      <c r="Q6" s="257"/>
      <c r="R6" s="257"/>
      <c r="S6" s="257"/>
      <c r="T6" s="257"/>
      <c r="U6" s="257"/>
      <c r="V6" s="206" t="str">
        <f>IF(YC書式522_経費内訳書・再生医療!W5="","",YC書式522_経費内訳書・再生医療!W5)</f>
        <v/>
      </c>
      <c r="W6" s="207"/>
      <c r="X6" s="207"/>
      <c r="Y6" s="207"/>
      <c r="Z6" s="207"/>
      <c r="AA6" s="207"/>
      <c r="AB6" s="207"/>
      <c r="AC6" s="207"/>
      <c r="AD6" s="208"/>
    </row>
    <row r="7" spans="1:34" ht="34.5" customHeight="1" x14ac:dyDescent="0.15">
      <c r="A7" s="154" t="s">
        <v>0</v>
      </c>
      <c r="B7" s="154"/>
      <c r="C7" s="154"/>
      <c r="D7" s="154"/>
      <c r="E7" s="154"/>
      <c r="F7" s="154"/>
      <c r="G7" s="154"/>
      <c r="H7" s="209" t="str">
        <f>IF(YC書式522_経費内訳書・再生医療!H6="","",YC書式522_経費内訳書・再生医療!H6)</f>
        <v>テスト</v>
      </c>
      <c r="I7" s="209"/>
      <c r="J7" s="209"/>
      <c r="K7" s="209"/>
      <c r="L7" s="209"/>
      <c r="M7" s="209"/>
      <c r="N7" s="209"/>
      <c r="O7" s="209"/>
      <c r="P7" s="209"/>
      <c r="Q7" s="209"/>
      <c r="R7" s="209"/>
      <c r="S7" s="209"/>
      <c r="T7" s="209"/>
      <c r="U7" s="209"/>
      <c r="V7" s="209"/>
      <c r="W7" s="209"/>
      <c r="X7" s="209"/>
      <c r="Y7" s="209"/>
      <c r="Z7" s="209"/>
      <c r="AA7" s="209"/>
      <c r="AB7" s="209"/>
      <c r="AC7" s="209"/>
      <c r="AD7" s="209"/>
    </row>
    <row r="8" spans="1:34" ht="15" customHeight="1" x14ac:dyDescent="0.15">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row>
    <row r="9" spans="1:34" s="57" customFormat="1" ht="34.5" customHeight="1" x14ac:dyDescent="0.15">
      <c r="A9" s="182" t="s">
        <v>87</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row>
    <row r="10" spans="1:34" ht="11.25" customHeight="1" x14ac:dyDescent="0.15">
      <c r="A10" s="56"/>
      <c r="B10" s="56"/>
      <c r="C10" s="56"/>
      <c r="D10" s="56"/>
      <c r="E10" s="56"/>
      <c r="F10" s="56"/>
      <c r="G10" s="56"/>
      <c r="H10" s="61"/>
      <c r="I10" s="61"/>
      <c r="J10" s="61"/>
      <c r="K10" s="61"/>
      <c r="L10" s="61"/>
      <c r="M10" s="61"/>
      <c r="N10" s="61"/>
      <c r="O10" s="61"/>
      <c r="P10" s="61"/>
      <c r="Q10" s="61"/>
      <c r="R10" s="61"/>
      <c r="S10" s="61"/>
      <c r="T10" s="61"/>
      <c r="U10" s="61"/>
      <c r="V10" s="61"/>
      <c r="W10" s="61"/>
      <c r="X10" s="61"/>
      <c r="Y10" s="61"/>
      <c r="Z10" s="61"/>
      <c r="AA10" s="61"/>
      <c r="AB10" s="61"/>
      <c r="AC10" s="61"/>
      <c r="AD10" s="61"/>
    </row>
    <row r="11" spans="1:34" ht="19.5" customHeight="1" x14ac:dyDescent="0.15">
      <c r="A11" s="184" t="s">
        <v>19</v>
      </c>
      <c r="B11" s="185"/>
      <c r="C11" s="185"/>
      <c r="D11" s="185"/>
      <c r="E11" s="185"/>
      <c r="F11" s="185"/>
      <c r="G11" s="186"/>
      <c r="H11" s="193" t="s">
        <v>3</v>
      </c>
      <c r="I11" s="194" t="s">
        <v>4</v>
      </c>
      <c r="J11" s="195"/>
      <c r="K11" s="195"/>
      <c r="L11" s="195"/>
      <c r="M11" s="195"/>
      <c r="N11" s="195"/>
      <c r="O11" s="195"/>
      <c r="P11" s="195"/>
      <c r="Q11" s="195"/>
      <c r="R11" s="195"/>
      <c r="S11" s="195"/>
      <c r="T11" s="195"/>
      <c r="U11" s="195"/>
      <c r="V11" s="195"/>
      <c r="W11" s="195"/>
      <c r="X11" s="195"/>
      <c r="Y11" s="195"/>
      <c r="Z11" s="195"/>
      <c r="AA11" s="195"/>
      <c r="AB11" s="195"/>
      <c r="AC11" s="195"/>
      <c r="AD11" s="196"/>
    </row>
    <row r="12" spans="1:34" ht="20.100000000000001" customHeight="1" x14ac:dyDescent="0.15">
      <c r="A12" s="187"/>
      <c r="B12" s="188"/>
      <c r="C12" s="188"/>
      <c r="D12" s="188"/>
      <c r="E12" s="188"/>
      <c r="F12" s="188"/>
      <c r="G12" s="189"/>
      <c r="H12" s="193"/>
      <c r="I12" s="197" t="s">
        <v>5</v>
      </c>
      <c r="J12" s="198"/>
      <c r="K12" s="198"/>
      <c r="L12" s="198"/>
      <c r="M12" s="198"/>
      <c r="N12" s="199"/>
      <c r="O12" s="197" t="s">
        <v>6</v>
      </c>
      <c r="P12" s="198"/>
      <c r="Q12" s="198"/>
      <c r="R12" s="198"/>
      <c r="S12" s="198"/>
      <c r="T12" s="198"/>
      <c r="U12" s="198"/>
      <c r="V12" s="199"/>
      <c r="W12" s="197" t="s">
        <v>7</v>
      </c>
      <c r="X12" s="198"/>
      <c r="Y12" s="198"/>
      <c r="Z12" s="198"/>
      <c r="AA12" s="198"/>
      <c r="AB12" s="198"/>
      <c r="AC12" s="199"/>
      <c r="AD12" s="274" t="s">
        <v>8</v>
      </c>
    </row>
    <row r="13" spans="1:34" ht="20.100000000000001" customHeight="1" x14ac:dyDescent="0.15">
      <c r="A13" s="190"/>
      <c r="B13" s="191"/>
      <c r="C13" s="191"/>
      <c r="D13" s="191"/>
      <c r="E13" s="191"/>
      <c r="F13" s="191"/>
      <c r="G13" s="192"/>
      <c r="H13" s="193"/>
      <c r="I13" s="63"/>
      <c r="J13" s="64"/>
      <c r="K13" s="64"/>
      <c r="L13" s="97" t="s">
        <v>27</v>
      </c>
      <c r="M13" s="64">
        <v>1</v>
      </c>
      <c r="N13" s="65" t="s">
        <v>22</v>
      </c>
      <c r="O13" s="66"/>
      <c r="P13" s="64"/>
      <c r="Q13" s="64"/>
      <c r="R13" s="64"/>
      <c r="S13" s="97" t="s">
        <v>27</v>
      </c>
      <c r="T13" s="64">
        <v>2</v>
      </c>
      <c r="U13" s="226" t="s">
        <v>22</v>
      </c>
      <c r="V13" s="246"/>
      <c r="W13" s="66"/>
      <c r="X13" s="64"/>
      <c r="Y13" s="64"/>
      <c r="Z13" s="97" t="s">
        <v>27</v>
      </c>
      <c r="AA13" s="97"/>
      <c r="AB13" s="64">
        <v>3</v>
      </c>
      <c r="AC13" s="65" t="s">
        <v>22</v>
      </c>
      <c r="AD13" s="274"/>
      <c r="AG13" s="72" t="s">
        <v>340</v>
      </c>
      <c r="AH13" s="72" t="s">
        <v>344</v>
      </c>
    </row>
    <row r="14" spans="1:34" ht="30" customHeight="1" x14ac:dyDescent="0.15">
      <c r="A14" s="80" t="s">
        <v>9</v>
      </c>
      <c r="B14" s="257" t="s">
        <v>2</v>
      </c>
      <c r="C14" s="257"/>
      <c r="D14" s="257"/>
      <c r="E14" s="257"/>
      <c r="F14" s="257"/>
      <c r="G14" s="257"/>
      <c r="H14" s="58">
        <v>1</v>
      </c>
      <c r="I14" s="75" t="str">
        <f>IF(YC書式520_研究経費ポイント算出表・再生医療!I16="","",YC書式520_研究経費ポイント算出表・再生医療!I16)</f>
        <v>○</v>
      </c>
      <c r="J14" s="253" t="s">
        <v>30</v>
      </c>
      <c r="K14" s="253"/>
      <c r="L14" s="253"/>
      <c r="M14" s="253"/>
      <c r="N14" s="254"/>
      <c r="O14" s="75" t="str">
        <f>IF(YC書式520_研究経費ポイント算出表・再生医療!O16="","",YC書式520_研究経費ポイント算出表・再生医療!O16)</f>
        <v/>
      </c>
      <c r="P14" s="253" t="s">
        <v>32</v>
      </c>
      <c r="Q14" s="253"/>
      <c r="R14" s="253"/>
      <c r="S14" s="253"/>
      <c r="T14" s="253"/>
      <c r="U14" s="253"/>
      <c r="V14" s="254"/>
      <c r="W14" s="75" t="str">
        <f>IF(YC書式520_研究経費ポイント算出表・再生医療!W16="","",YC書式520_研究経費ポイント算出表・再生医療!W16)</f>
        <v/>
      </c>
      <c r="X14" s="253" t="s">
        <v>31</v>
      </c>
      <c r="Y14" s="253"/>
      <c r="Z14" s="253"/>
      <c r="AA14" s="253"/>
      <c r="AB14" s="253"/>
      <c r="AC14" s="254"/>
      <c r="AD14" s="67">
        <f>IF(S2="■","",IF(AND(I14="",O14="",W14=""),"─",IF(AND(W14="",O14=""),H14,IF(W14="",H14*2,H14*3))))</f>
        <v>1</v>
      </c>
      <c r="AE14" s="71" t="str">
        <f>IF($S$2="■",AH14,AG14)</f>
        <v>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v>
      </c>
      <c r="AG14" s="71" t="s">
        <v>286</v>
      </c>
      <c r="AH14" s="72" t="s">
        <v>274</v>
      </c>
    </row>
    <row r="15" spans="1:34" ht="30" customHeight="1" x14ac:dyDescent="0.15">
      <c r="A15" s="80" t="s">
        <v>10</v>
      </c>
      <c r="B15" s="194" t="s">
        <v>284</v>
      </c>
      <c r="C15" s="195"/>
      <c r="D15" s="195"/>
      <c r="E15" s="195"/>
      <c r="F15" s="195"/>
      <c r="G15" s="196"/>
      <c r="H15" s="58">
        <v>2</v>
      </c>
      <c r="I15" s="75" t="str">
        <f>IF(YC書式520_研究経費ポイント算出表・再生医療!I19="","",YC書式520_研究経費ポイント算出表・再生医療!I19)</f>
        <v/>
      </c>
      <c r="J15" s="278" t="s">
        <v>116</v>
      </c>
      <c r="K15" s="172"/>
      <c r="L15" s="172"/>
      <c r="M15" s="172"/>
      <c r="N15" s="173"/>
      <c r="O15" s="69"/>
      <c r="P15" s="275"/>
      <c r="Q15" s="276"/>
      <c r="R15" s="276"/>
      <c r="S15" s="276"/>
      <c r="T15" s="276"/>
      <c r="U15" s="276"/>
      <c r="V15" s="277"/>
      <c r="W15" s="69"/>
      <c r="X15" s="255"/>
      <c r="Y15" s="255"/>
      <c r="Z15" s="255"/>
      <c r="AA15" s="255"/>
      <c r="AB15" s="255"/>
      <c r="AC15" s="256"/>
      <c r="AD15" s="67" t="str">
        <f>IF(AND(I15="",O15="",W15=""),"─",IF(AND(W15="",O15=""),H15,IF(W15="",H15*2,H15*3)))</f>
        <v>─</v>
      </c>
      <c r="AE15" s="71" t="str">
        <f>IF($S$2="■",AH15,AG15)</f>
        <v>対照となる治療群に対照製品（プラセボを含む）を使用する場合に算定すること。</v>
      </c>
      <c r="AG15" s="71" t="s">
        <v>287</v>
      </c>
      <c r="AH15" s="72" t="s">
        <v>274</v>
      </c>
    </row>
    <row r="16" spans="1:34" ht="30" customHeight="1" x14ac:dyDescent="0.15">
      <c r="A16" s="80" t="s">
        <v>12</v>
      </c>
      <c r="B16" s="194" t="s">
        <v>117</v>
      </c>
      <c r="C16" s="195"/>
      <c r="D16" s="195"/>
      <c r="E16" s="195"/>
      <c r="F16" s="195"/>
      <c r="G16" s="196"/>
      <c r="H16" s="58">
        <v>2</v>
      </c>
      <c r="I16" s="69"/>
      <c r="J16" s="255"/>
      <c r="K16" s="255"/>
      <c r="L16" s="255"/>
      <c r="M16" s="255"/>
      <c r="N16" s="256"/>
      <c r="O16" s="12"/>
      <c r="P16" s="253" t="s">
        <v>116</v>
      </c>
      <c r="Q16" s="253"/>
      <c r="R16" s="253"/>
      <c r="S16" s="253"/>
      <c r="T16" s="253"/>
      <c r="U16" s="253"/>
      <c r="V16" s="254"/>
      <c r="W16" s="69"/>
      <c r="X16" s="255"/>
      <c r="Y16" s="255"/>
      <c r="Z16" s="255"/>
      <c r="AA16" s="255"/>
      <c r="AB16" s="255"/>
      <c r="AC16" s="256"/>
      <c r="AD16" s="67" t="str">
        <f>IF(S2="■","",IF(AND(I16="",O16="",W16=""),"─",IF(AND(W16="",O16=""),H16,IF(W16="",H16*2,H16*3))))</f>
        <v>─</v>
      </c>
      <c r="AE16" s="71" t="str">
        <f>IF($S$2="■",AH16,AG16)</f>
        <v>二重盲検試験において、非盲検担当者の設置が規定されている場合に算定すること。</v>
      </c>
      <c r="AG16" s="71" t="s">
        <v>167</v>
      </c>
      <c r="AH16" s="72" t="s">
        <v>274</v>
      </c>
    </row>
    <row r="17" spans="1:34" ht="20.100000000000001" customHeight="1" x14ac:dyDescent="0.15">
      <c r="A17" s="250" t="s">
        <v>13</v>
      </c>
      <c r="B17" s="197" t="s">
        <v>25</v>
      </c>
      <c r="C17" s="198"/>
      <c r="D17" s="198"/>
      <c r="E17" s="198"/>
      <c r="F17" s="198"/>
      <c r="G17" s="199"/>
      <c r="H17" s="58">
        <v>3</v>
      </c>
      <c r="I17" s="75" t="str">
        <f>IF(O18="","",IF(O18&lt;=4,"○",""))</f>
        <v/>
      </c>
      <c r="J17" s="253" t="s">
        <v>33</v>
      </c>
      <c r="K17" s="253"/>
      <c r="L17" s="253"/>
      <c r="M17" s="253"/>
      <c r="N17" s="254"/>
      <c r="O17" s="75" t="str">
        <f>IF(O18="","",IF(AND(O18&gt;=5,O18&lt;=24),"○",""))</f>
        <v/>
      </c>
      <c r="P17" s="253" t="s">
        <v>34</v>
      </c>
      <c r="Q17" s="253"/>
      <c r="R17" s="253"/>
      <c r="S17" s="253"/>
      <c r="T17" s="253"/>
      <c r="U17" s="253"/>
      <c r="V17" s="254"/>
      <c r="W17" s="75" t="str">
        <f>IF(O18="","",IF(O18&gt;=25,"○",""))</f>
        <v/>
      </c>
      <c r="X17" s="253" t="s">
        <v>138</v>
      </c>
      <c r="Y17" s="253"/>
      <c r="Z17" s="253"/>
      <c r="AA17" s="253"/>
      <c r="AB17" s="253"/>
      <c r="AC17" s="254"/>
      <c r="AD17" s="67" t="str">
        <f>IF(L33&lt;&gt;"",H17*3+N33,IF(AND(I17="",O17="",W17=""),"─",IF(AND(W17="",O17=""),H17,IF(W17="",H17*2,H17*3))))</f>
        <v>─</v>
      </c>
      <c r="AE17" s="248" t="str">
        <f>IF($S$2="■",AH17,AG17)</f>
        <v>個々の被験者における治験製品（治験製品と同等に管理を求められる再生医療等製品や薬剤などを含む）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G17" s="248" t="s">
        <v>288</v>
      </c>
      <c r="AH17" s="153" t="s">
        <v>222</v>
      </c>
    </row>
    <row r="18" spans="1:34" ht="30" customHeight="1" x14ac:dyDescent="0.15">
      <c r="A18" s="251"/>
      <c r="B18" s="252"/>
      <c r="C18" s="226"/>
      <c r="D18" s="226"/>
      <c r="E18" s="226"/>
      <c r="F18" s="226"/>
      <c r="G18" s="246"/>
      <c r="H18" s="171" t="s">
        <v>139</v>
      </c>
      <c r="I18" s="172"/>
      <c r="J18" s="172"/>
      <c r="K18" s="172"/>
      <c r="L18" s="172"/>
      <c r="M18" s="172"/>
      <c r="N18" s="173"/>
      <c r="O18" s="75" t="str">
        <f>IF(YC書式520_研究経費ポイント算出表・再生医療!O23="","",YC書式520_研究経費ポイント算出表・再生医療!O23)</f>
        <v/>
      </c>
      <c r="P18" s="241" t="s">
        <v>123</v>
      </c>
      <c r="Q18" s="241"/>
      <c r="R18" s="241"/>
      <c r="S18" s="241"/>
      <c r="T18" s="241"/>
      <c r="U18" s="241"/>
      <c r="V18" s="242"/>
      <c r="W18" s="243" t="s">
        <v>124</v>
      </c>
      <c r="X18" s="244"/>
      <c r="Y18" s="244"/>
      <c r="Z18" s="244"/>
      <c r="AA18" s="244"/>
      <c r="AB18" s="244"/>
      <c r="AC18" s="245"/>
      <c r="AD18" s="67">
        <f>IF(O18="",0,IF(O18&lt;50,0,4*ROUNDUP((O18-49)/12,0)))</f>
        <v>0</v>
      </c>
      <c r="AE18" s="249"/>
      <c r="AG18" s="249"/>
      <c r="AH18" s="153"/>
    </row>
    <row r="19" spans="1:34" ht="20.100000000000001" customHeight="1" x14ac:dyDescent="0.15">
      <c r="A19" s="250" t="s">
        <v>71</v>
      </c>
      <c r="B19" s="184" t="s">
        <v>301</v>
      </c>
      <c r="C19" s="185"/>
      <c r="D19" s="185"/>
      <c r="E19" s="185"/>
      <c r="F19" s="185"/>
      <c r="G19" s="186"/>
      <c r="H19" s="58">
        <v>1</v>
      </c>
      <c r="I19" s="75" t="str">
        <f>IF(O20="","",IF(O20&lt;=1,"○",""))</f>
        <v/>
      </c>
      <c r="J19" s="253" t="s">
        <v>29</v>
      </c>
      <c r="K19" s="253"/>
      <c r="L19" s="253"/>
      <c r="M19" s="253"/>
      <c r="N19" s="254"/>
      <c r="O19" s="75" t="str">
        <f>IF(O20="","",IF(AND(O20&gt;=2,O20&lt;=5),"○",""))</f>
        <v/>
      </c>
      <c r="P19" s="253" t="s">
        <v>91</v>
      </c>
      <c r="Q19" s="253"/>
      <c r="R19" s="253"/>
      <c r="S19" s="253"/>
      <c r="T19" s="253"/>
      <c r="U19" s="253"/>
      <c r="V19" s="254"/>
      <c r="W19" s="75" t="str">
        <f>IF(O20="","",IF(O20&gt;=6,"○",""))</f>
        <v/>
      </c>
      <c r="X19" s="253" t="s">
        <v>88</v>
      </c>
      <c r="Y19" s="253"/>
      <c r="Z19" s="253"/>
      <c r="AA19" s="253"/>
      <c r="AB19" s="253"/>
      <c r="AC19" s="254"/>
      <c r="AD19" s="67" t="str">
        <f>IF(L34&lt;&gt;"",H19*3+N34,IF(AND(I19="",O19="",W19=""),"─",IF(AND(W19="",O19=""),H19,IF(W19="",H19*2,H19*3))))</f>
        <v>─</v>
      </c>
      <c r="AE19" s="166" t="s">
        <v>290</v>
      </c>
    </row>
    <row r="20" spans="1:34" ht="30" customHeight="1" x14ac:dyDescent="0.15">
      <c r="A20" s="251"/>
      <c r="B20" s="190"/>
      <c r="C20" s="191"/>
      <c r="D20" s="191"/>
      <c r="E20" s="191"/>
      <c r="F20" s="191"/>
      <c r="G20" s="192"/>
      <c r="H20" s="171" t="s">
        <v>127</v>
      </c>
      <c r="I20" s="172"/>
      <c r="J20" s="172"/>
      <c r="K20" s="172"/>
      <c r="L20" s="172"/>
      <c r="M20" s="172"/>
      <c r="N20" s="173"/>
      <c r="O20" s="12"/>
      <c r="P20" s="241" t="s">
        <v>125</v>
      </c>
      <c r="Q20" s="241"/>
      <c r="R20" s="241"/>
      <c r="S20" s="241"/>
      <c r="T20" s="241"/>
      <c r="U20" s="241"/>
      <c r="V20" s="242"/>
      <c r="W20" s="243" t="s">
        <v>124</v>
      </c>
      <c r="X20" s="244"/>
      <c r="Y20" s="244"/>
      <c r="Z20" s="244"/>
      <c r="AA20" s="244"/>
      <c r="AB20" s="244"/>
      <c r="AC20" s="245"/>
      <c r="AD20" s="67">
        <f>IF(O20="",0,IF(O20&lt;13,0,ROUNDUP((O20-12)/3,0)))</f>
        <v>0</v>
      </c>
      <c r="AE20" s="167"/>
    </row>
    <row r="21" spans="1:34" ht="30" customHeight="1" x14ac:dyDescent="0.15">
      <c r="A21" s="80" t="s">
        <v>72</v>
      </c>
      <c r="B21" s="171" t="s">
        <v>70</v>
      </c>
      <c r="C21" s="172"/>
      <c r="D21" s="172"/>
      <c r="E21" s="172"/>
      <c r="F21" s="172"/>
      <c r="G21" s="173"/>
      <c r="H21" s="58">
        <v>2</v>
      </c>
      <c r="I21" s="69"/>
      <c r="J21" s="255"/>
      <c r="K21" s="255"/>
      <c r="L21" s="255"/>
      <c r="M21" s="255"/>
      <c r="N21" s="256"/>
      <c r="O21" s="69"/>
      <c r="P21" s="255"/>
      <c r="Q21" s="255"/>
      <c r="R21" s="255"/>
      <c r="S21" s="255"/>
      <c r="T21" s="255"/>
      <c r="U21" s="255"/>
      <c r="V21" s="256"/>
      <c r="W21" s="12"/>
      <c r="X21" s="253" t="s">
        <v>116</v>
      </c>
      <c r="Y21" s="253"/>
      <c r="Z21" s="253"/>
      <c r="AA21" s="253"/>
      <c r="AB21" s="253"/>
      <c r="AC21" s="254"/>
      <c r="AD21" s="67" t="str">
        <f t="shared" ref="AD21:AD29" si="0">IF(AND(I21="",O21="",W21=""),"─",IF(AND(W21="",O21=""),H21,IF(W21="",H21*2,H21*3)))</f>
        <v>─</v>
      </c>
      <c r="AE21" s="71" t="s">
        <v>291</v>
      </c>
    </row>
    <row r="22" spans="1:34" ht="49.5" customHeight="1" x14ac:dyDescent="0.15">
      <c r="A22" s="80" t="s">
        <v>81</v>
      </c>
      <c r="B22" s="154" t="s">
        <v>302</v>
      </c>
      <c r="C22" s="154"/>
      <c r="D22" s="154"/>
      <c r="E22" s="154"/>
      <c r="F22" s="154"/>
      <c r="G22" s="154"/>
      <c r="H22" s="58">
        <v>2</v>
      </c>
      <c r="I22" s="12"/>
      <c r="J22" s="253" t="s">
        <v>131</v>
      </c>
      <c r="K22" s="253"/>
      <c r="L22" s="253"/>
      <c r="M22" s="253"/>
      <c r="N22" s="254"/>
      <c r="O22" s="12"/>
      <c r="P22" s="253" t="s">
        <v>132</v>
      </c>
      <c r="Q22" s="253"/>
      <c r="R22" s="253"/>
      <c r="S22" s="253"/>
      <c r="T22" s="253"/>
      <c r="U22" s="253"/>
      <c r="V22" s="254"/>
      <c r="W22" s="12"/>
      <c r="X22" s="253" t="s">
        <v>303</v>
      </c>
      <c r="Y22" s="253"/>
      <c r="Z22" s="253"/>
      <c r="AA22" s="253"/>
      <c r="AB22" s="253"/>
      <c r="AC22" s="254"/>
      <c r="AD22" s="67" t="str">
        <f t="shared" si="0"/>
        <v>─</v>
      </c>
      <c r="AE22" s="71" t="s">
        <v>292</v>
      </c>
    </row>
    <row r="23" spans="1:34" ht="30" customHeight="1" x14ac:dyDescent="0.15">
      <c r="A23" s="80" t="s">
        <v>121</v>
      </c>
      <c r="B23" s="154" t="s">
        <v>304</v>
      </c>
      <c r="C23" s="154"/>
      <c r="D23" s="154"/>
      <c r="E23" s="154"/>
      <c r="F23" s="154"/>
      <c r="G23" s="154"/>
      <c r="H23" s="58">
        <v>1</v>
      </c>
      <c r="I23" s="69"/>
      <c r="J23" s="255"/>
      <c r="K23" s="255"/>
      <c r="L23" s="255"/>
      <c r="M23" s="255"/>
      <c r="N23" s="256"/>
      <c r="O23" s="12"/>
      <c r="P23" s="253" t="s">
        <v>305</v>
      </c>
      <c r="Q23" s="253"/>
      <c r="R23" s="253"/>
      <c r="S23" s="253"/>
      <c r="T23" s="253"/>
      <c r="U23" s="253"/>
      <c r="V23" s="254"/>
      <c r="W23" s="12"/>
      <c r="X23" s="253" t="s">
        <v>306</v>
      </c>
      <c r="Y23" s="253"/>
      <c r="Z23" s="253"/>
      <c r="AA23" s="253"/>
      <c r="AB23" s="253"/>
      <c r="AC23" s="254"/>
      <c r="AD23" s="67" t="str">
        <f>IF(AND(I23="",O23="",W23=""),"─",IF(AND(W23="",O23=""),H23,IF(W23="",H23*2,H23*3)))</f>
        <v>─</v>
      </c>
      <c r="AE23" s="71" t="s">
        <v>293</v>
      </c>
    </row>
    <row r="24" spans="1:34" ht="30" customHeight="1" x14ac:dyDescent="0.15">
      <c r="A24" s="80" t="s">
        <v>83</v>
      </c>
      <c r="B24" s="154" t="s">
        <v>307</v>
      </c>
      <c r="C24" s="154"/>
      <c r="D24" s="154"/>
      <c r="E24" s="154"/>
      <c r="F24" s="154"/>
      <c r="G24" s="154"/>
      <c r="H24" s="58">
        <v>2</v>
      </c>
      <c r="I24" s="69"/>
      <c r="J24" s="255"/>
      <c r="K24" s="255"/>
      <c r="L24" s="255"/>
      <c r="M24" s="255"/>
      <c r="N24" s="256"/>
      <c r="O24" s="75" t="str">
        <f>IF(YC書式520_研究経費ポイント算出表・再生医療!O33="","",YC書式520_研究経費ポイント算出表・再生医療!O33)</f>
        <v/>
      </c>
      <c r="P24" s="253" t="s">
        <v>308</v>
      </c>
      <c r="Q24" s="253"/>
      <c r="R24" s="253"/>
      <c r="S24" s="253"/>
      <c r="T24" s="253"/>
      <c r="U24" s="253"/>
      <c r="V24" s="254"/>
      <c r="W24" s="75" t="str">
        <f>IF(YC書式520_研究経費ポイント算出表・再生医療!W33="","",YC書式520_研究経費ポイント算出表・再生医療!W33)</f>
        <v/>
      </c>
      <c r="X24" s="253" t="s">
        <v>309</v>
      </c>
      <c r="Y24" s="253"/>
      <c r="Z24" s="253"/>
      <c r="AA24" s="253"/>
      <c r="AB24" s="253"/>
      <c r="AC24" s="254"/>
      <c r="AD24" s="67" t="str">
        <f>IF(AND(I24="",O24="",W24=""),"─",IF(AND(W24="",O24=""),H24,IF(W24="",H24*2,H24*3)))</f>
        <v>─</v>
      </c>
      <c r="AE24" s="73" t="s">
        <v>294</v>
      </c>
    </row>
    <row r="25" spans="1:34" ht="30" customHeight="1" x14ac:dyDescent="0.15">
      <c r="A25" s="80" t="s">
        <v>122</v>
      </c>
      <c r="B25" s="154" t="s">
        <v>310</v>
      </c>
      <c r="C25" s="154"/>
      <c r="D25" s="154"/>
      <c r="E25" s="154"/>
      <c r="F25" s="154"/>
      <c r="G25" s="154"/>
      <c r="H25" s="58">
        <v>2</v>
      </c>
      <c r="I25" s="69"/>
      <c r="J25" s="255"/>
      <c r="K25" s="255"/>
      <c r="L25" s="255"/>
      <c r="M25" s="255"/>
      <c r="N25" s="256"/>
      <c r="O25" s="69"/>
      <c r="P25" s="255"/>
      <c r="Q25" s="255"/>
      <c r="R25" s="255"/>
      <c r="S25" s="255"/>
      <c r="T25" s="255"/>
      <c r="U25" s="255"/>
      <c r="V25" s="256"/>
      <c r="W25" s="12"/>
      <c r="X25" s="253" t="s">
        <v>116</v>
      </c>
      <c r="Y25" s="253"/>
      <c r="Z25" s="253"/>
      <c r="AA25" s="253"/>
      <c r="AB25" s="253"/>
      <c r="AC25" s="254"/>
      <c r="AD25" s="67" t="str">
        <f>IF(AND(I25="",O25="",W25=""),"─",IF(AND(W25="",O25=""),H25,IF(W25="",H25*2,H25*3)))</f>
        <v>─</v>
      </c>
      <c r="AE25" s="71" t="s">
        <v>295</v>
      </c>
    </row>
    <row r="26" spans="1:34" ht="30" customHeight="1" x14ac:dyDescent="0.15">
      <c r="A26" s="80" t="s">
        <v>16</v>
      </c>
      <c r="B26" s="154" t="s">
        <v>89</v>
      </c>
      <c r="C26" s="154"/>
      <c r="D26" s="154"/>
      <c r="E26" s="154"/>
      <c r="F26" s="154"/>
      <c r="G26" s="154"/>
      <c r="H26" s="58">
        <v>3</v>
      </c>
      <c r="I26" s="12"/>
      <c r="J26" s="253" t="s">
        <v>116</v>
      </c>
      <c r="K26" s="253"/>
      <c r="L26" s="253"/>
      <c r="M26" s="253"/>
      <c r="N26" s="254"/>
      <c r="O26" s="69"/>
      <c r="P26" s="255"/>
      <c r="Q26" s="255"/>
      <c r="R26" s="255"/>
      <c r="S26" s="255"/>
      <c r="T26" s="255"/>
      <c r="U26" s="255"/>
      <c r="V26" s="256"/>
      <c r="W26" s="69"/>
      <c r="X26" s="255"/>
      <c r="Y26" s="255"/>
      <c r="Z26" s="255"/>
      <c r="AA26" s="255"/>
      <c r="AB26" s="255"/>
      <c r="AC26" s="256"/>
      <c r="AD26" s="67" t="str">
        <f t="shared" ref="AD26" si="1">IF(AND(I26="",O26="",W26=""),"─",IF(AND(W26="",O26=""),H26,IF(W26="",H26*2,H26*3)))</f>
        <v>─</v>
      </c>
      <c r="AE26" s="71" t="s">
        <v>296</v>
      </c>
    </row>
    <row r="27" spans="1:34" ht="30" customHeight="1" x14ac:dyDescent="0.15">
      <c r="A27" s="80" t="s">
        <v>73</v>
      </c>
      <c r="B27" s="154" t="s">
        <v>311</v>
      </c>
      <c r="C27" s="154"/>
      <c r="D27" s="154"/>
      <c r="E27" s="154"/>
      <c r="F27" s="154"/>
      <c r="G27" s="154"/>
      <c r="H27" s="58">
        <v>2</v>
      </c>
      <c r="I27" s="170" t="s">
        <v>161</v>
      </c>
      <c r="J27" s="168"/>
      <c r="K27" s="168"/>
      <c r="L27" s="168"/>
      <c r="M27" s="168"/>
      <c r="N27" s="168"/>
      <c r="O27" s="168"/>
      <c r="P27" s="168"/>
      <c r="Q27" s="168"/>
      <c r="R27" s="168"/>
      <c r="S27" s="76" t="s">
        <v>162</v>
      </c>
      <c r="T27" s="13"/>
      <c r="U27" s="77" t="s">
        <v>118</v>
      </c>
      <c r="V27" s="77"/>
      <c r="W27" s="77"/>
      <c r="X27" s="98"/>
      <c r="Y27" s="98"/>
      <c r="Z27" s="98"/>
      <c r="AA27" s="98"/>
      <c r="AB27" s="98"/>
      <c r="AC27" s="99"/>
      <c r="AD27" s="67" t="str">
        <f>IF(T27="","─",T27*H27)</f>
        <v>─</v>
      </c>
      <c r="AE27" s="71" t="s">
        <v>297</v>
      </c>
    </row>
    <row r="28" spans="1:34" ht="30" customHeight="1" x14ac:dyDescent="0.15">
      <c r="A28" s="80" t="s">
        <v>17</v>
      </c>
      <c r="B28" s="154" t="s">
        <v>90</v>
      </c>
      <c r="C28" s="154"/>
      <c r="D28" s="154"/>
      <c r="E28" s="154"/>
      <c r="F28" s="154"/>
      <c r="G28" s="154"/>
      <c r="H28" s="58">
        <v>1</v>
      </c>
      <c r="I28" s="12"/>
      <c r="J28" s="253" t="s">
        <v>35</v>
      </c>
      <c r="K28" s="253"/>
      <c r="L28" s="253"/>
      <c r="M28" s="253"/>
      <c r="N28" s="254"/>
      <c r="O28" s="12"/>
      <c r="P28" s="253" t="s">
        <v>37</v>
      </c>
      <c r="Q28" s="253"/>
      <c r="R28" s="253"/>
      <c r="S28" s="253"/>
      <c r="T28" s="253"/>
      <c r="U28" s="253"/>
      <c r="V28" s="254"/>
      <c r="W28" s="12"/>
      <c r="X28" s="253" t="s">
        <v>36</v>
      </c>
      <c r="Y28" s="253"/>
      <c r="Z28" s="253"/>
      <c r="AA28" s="253"/>
      <c r="AB28" s="253"/>
      <c r="AC28" s="254"/>
      <c r="AD28" s="67" t="str">
        <f t="shared" si="0"/>
        <v>─</v>
      </c>
      <c r="AE28" s="71" t="s">
        <v>298</v>
      </c>
    </row>
    <row r="29" spans="1:34" ht="30" customHeight="1" x14ac:dyDescent="0.15">
      <c r="A29" s="80" t="s">
        <v>248</v>
      </c>
      <c r="B29" s="154" t="s">
        <v>312</v>
      </c>
      <c r="C29" s="154"/>
      <c r="D29" s="154"/>
      <c r="E29" s="154"/>
      <c r="F29" s="154"/>
      <c r="G29" s="154"/>
      <c r="H29" s="58">
        <v>1</v>
      </c>
      <c r="I29" s="12"/>
      <c r="J29" s="253">
        <v>1</v>
      </c>
      <c r="K29" s="253"/>
      <c r="L29" s="253"/>
      <c r="M29" s="253"/>
      <c r="N29" s="254"/>
      <c r="O29" s="12"/>
      <c r="P29" s="285" t="s">
        <v>313</v>
      </c>
      <c r="Q29" s="285"/>
      <c r="R29" s="285"/>
      <c r="S29" s="285"/>
      <c r="T29" s="285"/>
      <c r="U29" s="285"/>
      <c r="V29" s="286"/>
      <c r="W29" s="12"/>
      <c r="X29" s="253" t="s">
        <v>314</v>
      </c>
      <c r="Y29" s="253"/>
      <c r="Z29" s="253"/>
      <c r="AA29" s="253"/>
      <c r="AB29" s="253"/>
      <c r="AC29" s="254"/>
      <c r="AD29" s="67" t="str">
        <f t="shared" si="0"/>
        <v>─</v>
      </c>
      <c r="AE29" s="71" t="s">
        <v>299</v>
      </c>
    </row>
    <row r="30" spans="1:34" ht="30" customHeight="1" x14ac:dyDescent="0.15">
      <c r="A30" s="80" t="s">
        <v>84</v>
      </c>
      <c r="B30" s="236" t="s">
        <v>315</v>
      </c>
      <c r="C30" s="236"/>
      <c r="D30" s="236"/>
      <c r="E30" s="236"/>
      <c r="F30" s="236"/>
      <c r="G30" s="236"/>
      <c r="H30" s="58">
        <v>1</v>
      </c>
      <c r="I30" s="69"/>
      <c r="J30" s="255"/>
      <c r="K30" s="255"/>
      <c r="L30" s="255"/>
      <c r="M30" s="255"/>
      <c r="N30" s="256"/>
      <c r="O30" s="69"/>
      <c r="P30" s="253"/>
      <c r="Q30" s="253"/>
      <c r="R30" s="253"/>
      <c r="S30" s="253"/>
      <c r="T30" s="253"/>
      <c r="U30" s="253"/>
      <c r="V30" s="254"/>
      <c r="W30" s="12"/>
      <c r="X30" s="253" t="s">
        <v>116</v>
      </c>
      <c r="Y30" s="253"/>
      <c r="Z30" s="253"/>
      <c r="AA30" s="253"/>
      <c r="AB30" s="253"/>
      <c r="AC30" s="254"/>
      <c r="AD30" s="67" t="str">
        <f>IF(AND(I30="",O30="",W30=""),"─",IF(AND(W30="",O30=""),H30,IF(W30="",H30*2,H30*3)))</f>
        <v>─</v>
      </c>
      <c r="AE30" s="71" t="str">
        <f>IF($S$2="■",AH30,AG30)</f>
        <v>治験製品を管理する者（保管管理又は調製等を行うスタッフを含む）が、GCPやEDC、IXRS等のトレーニングなどを要する場合に算定すること。</v>
      </c>
      <c r="AG30" s="71" t="s">
        <v>289</v>
      </c>
      <c r="AH30" s="72" t="s">
        <v>222</v>
      </c>
    </row>
    <row r="31" spans="1:34" ht="30" customHeight="1" x14ac:dyDescent="0.15">
      <c r="A31" s="80" t="s">
        <v>107</v>
      </c>
      <c r="B31" s="154" t="s">
        <v>316</v>
      </c>
      <c r="C31" s="154"/>
      <c r="D31" s="154"/>
      <c r="E31" s="154"/>
      <c r="F31" s="154"/>
      <c r="G31" s="154"/>
      <c r="H31" s="58">
        <v>1</v>
      </c>
      <c r="I31" s="281" t="s">
        <v>317</v>
      </c>
      <c r="J31" s="282"/>
      <c r="K31" s="282"/>
      <c r="L31" s="282"/>
      <c r="M31" s="282"/>
      <c r="N31" s="282"/>
      <c r="O31" s="282"/>
      <c r="P31" s="282"/>
      <c r="Q31" s="282"/>
      <c r="R31" s="282"/>
      <c r="S31" s="282"/>
      <c r="T31" s="14"/>
      <c r="U31" s="283" t="s">
        <v>120</v>
      </c>
      <c r="V31" s="283"/>
      <c r="W31" s="283"/>
      <c r="X31" s="283"/>
      <c r="Y31" s="283"/>
      <c r="Z31" s="283"/>
      <c r="AA31" s="283"/>
      <c r="AB31" s="283"/>
      <c r="AC31" s="284"/>
      <c r="AD31" s="67">
        <f>$T$31</f>
        <v>0</v>
      </c>
      <c r="AE31" s="71" t="s">
        <v>300</v>
      </c>
    </row>
    <row r="32" spans="1:34" ht="20.100000000000001" customHeight="1" x14ac:dyDescent="0.15">
      <c r="A32" s="257" t="s">
        <v>38</v>
      </c>
      <c r="B32" s="257"/>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67">
        <f>SUM(AD14:AD31)</f>
        <v>1</v>
      </c>
    </row>
    <row r="33" spans="1:15" ht="20.100000000000001" customHeight="1" x14ac:dyDescent="0.15">
      <c r="A33" s="81"/>
      <c r="B33" s="60"/>
      <c r="C33" s="62"/>
      <c r="D33" s="62"/>
      <c r="E33" s="62"/>
      <c r="F33" s="62"/>
      <c r="G33" s="62"/>
      <c r="K33" s="82"/>
      <c r="M33" s="72"/>
      <c r="O33" s="72"/>
    </row>
    <row r="34" spans="1:15" ht="20.100000000000001" hidden="1" customHeight="1" x14ac:dyDescent="0.15">
      <c r="A34" s="81"/>
      <c r="B34" s="60"/>
      <c r="C34" s="86" t="s">
        <v>140</v>
      </c>
      <c r="D34" s="62"/>
      <c r="E34" s="62"/>
      <c r="F34" s="62"/>
      <c r="G34" s="62"/>
      <c r="K34" s="82"/>
      <c r="M34" s="72"/>
      <c r="O34" s="72"/>
    </row>
    <row r="35" spans="1:15" ht="20.100000000000001" hidden="1" customHeight="1" x14ac:dyDescent="0.15"/>
    <row r="36" spans="1:15" ht="20.100000000000001" customHeight="1" x14ac:dyDescent="0.15">
      <c r="B36" s="72"/>
    </row>
  </sheetData>
  <sheetProtection sheet="1" objects="1" scenarios="1" formatCells="0" formatRows="0"/>
  <customSheetViews>
    <customSheetView guid="{55E56F26-4B40-4110-8016-275979CB7E24}" fitToPage="1" hiddenRows="1">
      <selection activeCell="AE4" sqref="AE4"/>
      <pageMargins left="0.43307086614173229" right="0.43307086614173229" top="0.55118110236220474" bottom="0.55118110236220474" header="0.31496062992125984" footer="0.31496062992125984"/>
      <printOptions horizontalCentered="1"/>
      <pageSetup paperSize="9" scale="93" orientation="portrait" r:id="rId1"/>
      <headerFooter alignWithMargins="0"/>
    </customSheetView>
  </customSheetViews>
  <mergeCells count="101">
    <mergeCell ref="A6:G6"/>
    <mergeCell ref="I31:S31"/>
    <mergeCell ref="U31:AC31"/>
    <mergeCell ref="B26:G26"/>
    <mergeCell ref="J26:N26"/>
    <mergeCell ref="P26:V26"/>
    <mergeCell ref="X26:AC26"/>
    <mergeCell ref="B29:G29"/>
    <mergeCell ref="J29:N29"/>
    <mergeCell ref="P29:V29"/>
    <mergeCell ref="X29:AC29"/>
    <mergeCell ref="J28:N28"/>
    <mergeCell ref="X28:AC28"/>
    <mergeCell ref="P28:V28"/>
    <mergeCell ref="I27:R27"/>
    <mergeCell ref="P25:V25"/>
    <mergeCell ref="X25:AC25"/>
    <mergeCell ref="B25:G25"/>
    <mergeCell ref="B23:G23"/>
    <mergeCell ref="B21:G21"/>
    <mergeCell ref="J21:N21"/>
    <mergeCell ref="X21:AC21"/>
    <mergeCell ref="P14:V14"/>
    <mergeCell ref="O12:V12"/>
    <mergeCell ref="O1:AD1"/>
    <mergeCell ref="L2:N3"/>
    <mergeCell ref="P2:R2"/>
    <mergeCell ref="T2:W2"/>
    <mergeCell ref="Y2:AD2"/>
    <mergeCell ref="V6:AD6"/>
    <mergeCell ref="P21:V21"/>
    <mergeCell ref="R4:T4"/>
    <mergeCell ref="V4:Y4"/>
    <mergeCell ref="Z4:AA4"/>
    <mergeCell ref="AB4:AD4"/>
    <mergeCell ref="W12:AC12"/>
    <mergeCell ref="A4:P4"/>
    <mergeCell ref="L1:N1"/>
    <mergeCell ref="B14:G14"/>
    <mergeCell ref="J14:N14"/>
    <mergeCell ref="X14:AC14"/>
    <mergeCell ref="AD12:AD13"/>
    <mergeCell ref="P15:V15"/>
    <mergeCell ref="J15:N15"/>
    <mergeCell ref="X15:AC15"/>
    <mergeCell ref="P3:AD3"/>
    <mergeCell ref="H6:N6"/>
    <mergeCell ref="O6:U6"/>
    <mergeCell ref="A32:AC32"/>
    <mergeCell ref="B30:G30"/>
    <mergeCell ref="J30:N30"/>
    <mergeCell ref="X30:AC30"/>
    <mergeCell ref="P30:V30"/>
    <mergeCell ref="B31:G31"/>
    <mergeCell ref="B22:G22"/>
    <mergeCell ref="J22:N22"/>
    <mergeCell ref="X22:AC22"/>
    <mergeCell ref="P23:V23"/>
    <mergeCell ref="P24:V24"/>
    <mergeCell ref="J24:N24"/>
    <mergeCell ref="X24:AC24"/>
    <mergeCell ref="P22:V22"/>
    <mergeCell ref="B27:G27"/>
    <mergeCell ref="B28:G28"/>
    <mergeCell ref="J23:N23"/>
    <mergeCell ref="X23:AC23"/>
    <mergeCell ref="B24:G24"/>
    <mergeCell ref="J25:N25"/>
    <mergeCell ref="AE19:AE20"/>
    <mergeCell ref="B16:G16"/>
    <mergeCell ref="J16:N16"/>
    <mergeCell ref="X16:AC16"/>
    <mergeCell ref="P16:V16"/>
    <mergeCell ref="A19:A20"/>
    <mergeCell ref="B19:G20"/>
    <mergeCell ref="J19:N19"/>
    <mergeCell ref="X19:AC19"/>
    <mergeCell ref="H20:N20"/>
    <mergeCell ref="W20:AC20"/>
    <mergeCell ref="P19:V19"/>
    <mergeCell ref="P20:V20"/>
    <mergeCell ref="AE17:AE18"/>
    <mergeCell ref="AH17:AH18"/>
    <mergeCell ref="AG17:AG18"/>
    <mergeCell ref="A17:A18"/>
    <mergeCell ref="B17:G18"/>
    <mergeCell ref="J17:N17"/>
    <mergeCell ref="X17:AC17"/>
    <mergeCell ref="H18:N18"/>
    <mergeCell ref="W18:AC18"/>
    <mergeCell ref="P17:V17"/>
    <mergeCell ref="P18:V18"/>
    <mergeCell ref="U13:V13"/>
    <mergeCell ref="B15:G15"/>
    <mergeCell ref="A7:G7"/>
    <mergeCell ref="H7:AD7"/>
    <mergeCell ref="A9:AD9"/>
    <mergeCell ref="A11:G13"/>
    <mergeCell ref="H11:H13"/>
    <mergeCell ref="I11:AD11"/>
    <mergeCell ref="I12:N12"/>
  </mergeCells>
  <phoneticPr fontId="2"/>
  <dataValidations count="2">
    <dataValidation type="list" allowBlank="1" showInputMessage="1" showErrorMessage="1" sqref="O22:O23 W25 W21:W23 O16 O28:O29 I28:I29 I22 W28:W30" xr:uid="{00000000-0002-0000-0100-000000000000}">
      <formula1>$C$34:$C$35</formula1>
    </dataValidation>
    <dataValidation type="list" allowBlank="1" showInputMessage="1" showErrorMessage="1" sqref="I26" xr:uid="{00000000-0002-0000-0100-000001000000}">
      <formula1>$C$35:$C$36</formula1>
    </dataValidation>
  </dataValidations>
  <printOptions horizontalCentered="1"/>
  <pageMargins left="0.62992125984251968" right="0.23622047244094491" top="0.35433070866141736" bottom="0.55118110236220474" header="0.31496062992125984" footer="0.31496062992125984"/>
  <pageSetup paperSize="9" scale="90" orientation="portrait" cellComments="asDisplayed" horizontalDpi="1200" verticalDpi="1200" r:id="rId2"/>
  <headerFooter alignWithMargins="0">
    <oddFooter>&amp;R20250822</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P89"/>
  <sheetViews>
    <sheetView view="pageBreakPreview" zoomScale="80" zoomScaleNormal="80" zoomScaleSheetLayoutView="80" workbookViewId="0">
      <selection activeCell="O1" sqref="O1:AE1"/>
    </sheetView>
  </sheetViews>
  <sheetFormatPr defaultColWidth="8.75" defaultRowHeight="13.5" outlineLevelCol="1" x14ac:dyDescent="0.15"/>
  <cols>
    <col min="1" max="7" width="3.625" style="86" customWidth="1"/>
    <col min="8" max="14" width="4.75" style="86" customWidth="1"/>
    <col min="15" max="31" width="3.625" style="86" customWidth="1"/>
    <col min="32" max="32" width="3.625" style="86" hidden="1" customWidth="1" outlineLevel="1"/>
    <col min="33" max="35" width="13.75" style="86" hidden="1" customWidth="1" outlineLevel="1"/>
    <col min="36" max="36" width="15.75" style="86" hidden="1" customWidth="1" outlineLevel="1"/>
    <col min="37" max="40" width="13.75" style="86" hidden="1" customWidth="1" outlineLevel="1"/>
    <col min="41" max="41" width="3.625" style="86" hidden="1" customWidth="1" outlineLevel="1"/>
    <col min="42" max="42" width="8.75" style="86" collapsed="1"/>
    <col min="43" max="16384" width="8.75" style="86"/>
  </cols>
  <sheetData>
    <row r="1" spans="1:41" ht="20.100000000000001" customHeight="1" x14ac:dyDescent="0.15">
      <c r="A1" s="48" t="s">
        <v>282</v>
      </c>
      <c r="F1" s="87"/>
      <c r="G1" s="87"/>
      <c r="K1" s="291" t="s">
        <v>24</v>
      </c>
      <c r="L1" s="291"/>
      <c r="M1" s="291"/>
      <c r="N1" s="291"/>
      <c r="O1" s="351"/>
      <c r="P1" s="352"/>
      <c r="Q1" s="352"/>
      <c r="R1" s="352"/>
      <c r="S1" s="352"/>
      <c r="T1" s="352"/>
      <c r="U1" s="352"/>
      <c r="V1" s="352"/>
      <c r="W1" s="352"/>
      <c r="X1" s="352"/>
      <c r="Y1" s="352"/>
      <c r="Z1" s="352"/>
      <c r="AA1" s="352"/>
      <c r="AB1" s="352"/>
      <c r="AC1" s="352"/>
      <c r="AD1" s="352"/>
      <c r="AE1" s="362"/>
      <c r="AF1" s="87"/>
      <c r="AG1" s="87"/>
      <c r="AH1" s="87"/>
      <c r="AI1" s="101"/>
      <c r="AJ1" s="101"/>
      <c r="AK1" s="87"/>
      <c r="AL1" s="87"/>
      <c r="AM1" s="101"/>
      <c r="AN1" s="87"/>
      <c r="AO1" s="87"/>
    </row>
    <row r="2" spans="1:41" ht="12.95" customHeight="1" x14ac:dyDescent="0.15">
      <c r="A2" s="90"/>
      <c r="F2" s="87"/>
      <c r="G2" s="87"/>
      <c r="K2" s="291" t="s">
        <v>74</v>
      </c>
      <c r="L2" s="291"/>
      <c r="M2" s="291"/>
      <c r="N2" s="291"/>
      <c r="O2" s="7" t="s">
        <v>141</v>
      </c>
      <c r="P2" s="363" t="s">
        <v>142</v>
      </c>
      <c r="Q2" s="363"/>
      <c r="R2" s="363"/>
      <c r="S2" s="8" t="s">
        <v>145</v>
      </c>
      <c r="T2" s="363" t="s">
        <v>218</v>
      </c>
      <c r="U2" s="363"/>
      <c r="V2" s="363"/>
      <c r="W2" s="363"/>
      <c r="X2" s="8" t="s">
        <v>145</v>
      </c>
      <c r="Y2" s="363" t="s">
        <v>143</v>
      </c>
      <c r="Z2" s="363"/>
      <c r="AA2" s="363"/>
      <c r="AB2" s="363"/>
      <c r="AC2" s="363"/>
      <c r="AD2" s="363"/>
      <c r="AE2" s="364"/>
      <c r="AF2" s="92"/>
      <c r="AG2" s="92"/>
      <c r="AH2" s="92"/>
      <c r="AI2" s="101"/>
      <c r="AJ2" s="101"/>
      <c r="AK2" s="92"/>
      <c r="AL2" s="92"/>
      <c r="AM2" s="101"/>
      <c r="AN2" s="92"/>
      <c r="AO2" s="92"/>
    </row>
    <row r="3" spans="1:41" ht="12.95" customHeight="1" x14ac:dyDescent="0.15">
      <c r="A3" s="90"/>
      <c r="F3" s="87"/>
      <c r="G3" s="87"/>
      <c r="K3" s="291"/>
      <c r="L3" s="291"/>
      <c r="M3" s="291"/>
      <c r="N3" s="291"/>
      <c r="O3" s="7" t="s">
        <v>141</v>
      </c>
      <c r="P3" s="363" t="s">
        <v>144</v>
      </c>
      <c r="Q3" s="363"/>
      <c r="R3" s="363"/>
      <c r="S3" s="363"/>
      <c r="T3" s="363"/>
      <c r="U3" s="363"/>
      <c r="V3" s="363"/>
      <c r="W3" s="363"/>
      <c r="X3" s="363"/>
      <c r="Y3" s="363"/>
      <c r="Z3" s="363"/>
      <c r="AA3" s="363"/>
      <c r="AB3" s="363"/>
      <c r="AC3" s="363"/>
      <c r="AD3" s="363"/>
      <c r="AE3" s="364"/>
      <c r="AF3" s="92"/>
      <c r="AG3" s="92"/>
      <c r="AH3" s="92"/>
      <c r="AI3" s="101"/>
      <c r="AJ3" s="101"/>
      <c r="AK3" s="92"/>
      <c r="AL3" s="92"/>
      <c r="AM3" s="101"/>
      <c r="AN3" s="92"/>
      <c r="AO3" s="92"/>
    </row>
    <row r="4" spans="1:41" s="57" customFormat="1" ht="20.45" customHeight="1" x14ac:dyDescent="0.15">
      <c r="A4" s="361" t="s">
        <v>318</v>
      </c>
      <c r="B4" s="361"/>
      <c r="C4" s="361"/>
      <c r="D4" s="361"/>
      <c r="E4" s="361"/>
      <c r="F4" s="361"/>
      <c r="G4" s="361"/>
      <c r="H4" s="361"/>
      <c r="I4" s="361"/>
      <c r="J4" s="361"/>
      <c r="K4" s="361"/>
      <c r="L4" s="361"/>
      <c r="M4" s="361"/>
      <c r="N4" s="361"/>
      <c r="O4" s="361"/>
      <c r="P4" s="8" t="s">
        <v>141</v>
      </c>
      <c r="Q4" s="360" t="s">
        <v>155</v>
      </c>
      <c r="R4" s="360"/>
      <c r="S4" s="360"/>
      <c r="T4" s="8" t="s">
        <v>145</v>
      </c>
      <c r="U4" s="360" t="s">
        <v>156</v>
      </c>
      <c r="V4" s="360"/>
      <c r="W4" s="360"/>
      <c r="X4" s="360"/>
      <c r="Y4" s="365" t="s">
        <v>198</v>
      </c>
      <c r="Z4" s="365"/>
      <c r="AA4" s="365"/>
      <c r="AB4" s="359" t="s">
        <v>256</v>
      </c>
      <c r="AC4" s="359"/>
      <c r="AD4" s="359"/>
      <c r="AE4" s="359"/>
      <c r="AF4" s="143"/>
      <c r="AG4" s="143"/>
      <c r="AH4" s="143"/>
      <c r="AI4" s="144"/>
      <c r="AJ4" s="144"/>
      <c r="AK4" s="143"/>
      <c r="AL4" s="143"/>
      <c r="AM4" s="144"/>
      <c r="AN4" s="143"/>
      <c r="AO4" s="143"/>
    </row>
    <row r="5" spans="1:41" s="59" customFormat="1" ht="25.5" customHeight="1" x14ac:dyDescent="0.15">
      <c r="A5" s="330" t="s">
        <v>260</v>
      </c>
      <c r="B5" s="330"/>
      <c r="C5" s="330"/>
      <c r="D5" s="330"/>
      <c r="E5" s="330"/>
      <c r="F5" s="330"/>
      <c r="G5" s="330"/>
      <c r="H5" s="331"/>
      <c r="I5" s="331"/>
      <c r="J5" s="331"/>
      <c r="K5" s="331"/>
      <c r="L5" s="331"/>
      <c r="M5" s="331"/>
      <c r="N5" s="331"/>
      <c r="O5" s="257" t="s">
        <v>26</v>
      </c>
      <c r="P5" s="257"/>
      <c r="Q5" s="257"/>
      <c r="R5" s="257"/>
      <c r="S5" s="257"/>
      <c r="T5" s="257"/>
      <c r="U5" s="257"/>
      <c r="V5" s="257"/>
      <c r="W5" s="344"/>
      <c r="X5" s="345"/>
      <c r="Y5" s="345"/>
      <c r="Z5" s="345"/>
      <c r="AA5" s="345"/>
      <c r="AB5" s="345"/>
      <c r="AC5" s="345"/>
      <c r="AD5" s="345"/>
      <c r="AE5" s="346"/>
      <c r="AI5" s="82"/>
      <c r="AJ5" s="82"/>
      <c r="AM5" s="82"/>
    </row>
    <row r="6" spans="1:41" s="59" customFormat="1" ht="33" customHeight="1" x14ac:dyDescent="0.15">
      <c r="A6" s="257" t="s">
        <v>62</v>
      </c>
      <c r="B6" s="257"/>
      <c r="C6" s="257"/>
      <c r="D6" s="257"/>
      <c r="E6" s="257"/>
      <c r="F6" s="257"/>
      <c r="G6" s="257"/>
      <c r="H6" s="347" t="s">
        <v>182</v>
      </c>
      <c r="I6" s="348"/>
      <c r="J6" s="348"/>
      <c r="K6" s="348"/>
      <c r="L6" s="348"/>
      <c r="M6" s="348"/>
      <c r="N6" s="348"/>
      <c r="O6" s="348"/>
      <c r="P6" s="348"/>
      <c r="Q6" s="348"/>
      <c r="R6" s="348"/>
      <c r="S6" s="348"/>
      <c r="T6" s="348"/>
      <c r="U6" s="348"/>
      <c r="V6" s="348"/>
      <c r="W6" s="348"/>
      <c r="X6" s="348"/>
      <c r="Y6" s="348"/>
      <c r="Z6" s="348"/>
      <c r="AA6" s="348"/>
      <c r="AB6" s="348"/>
      <c r="AC6" s="348"/>
      <c r="AD6" s="348"/>
      <c r="AE6" s="349"/>
      <c r="AI6" s="82"/>
      <c r="AJ6" s="82"/>
      <c r="AM6" s="82"/>
    </row>
    <row r="7" spans="1:41" x14ac:dyDescent="0.15">
      <c r="A7" s="329" t="s">
        <v>349</v>
      </c>
      <c r="B7" s="329"/>
      <c r="C7" s="329"/>
      <c r="D7" s="329"/>
      <c r="E7" s="329"/>
      <c r="F7" s="329"/>
      <c r="G7" s="329"/>
      <c r="H7" s="351">
        <v>1</v>
      </c>
      <c r="I7" s="352"/>
      <c r="J7" s="145" t="s">
        <v>119</v>
      </c>
      <c r="K7" s="353" t="s">
        <v>350</v>
      </c>
      <c r="L7" s="354"/>
      <c r="M7" s="354"/>
      <c r="N7" s="355">
        <v>45838</v>
      </c>
      <c r="O7" s="355"/>
      <c r="P7" s="356"/>
      <c r="Q7" s="353" t="s">
        <v>158</v>
      </c>
      <c r="R7" s="354"/>
      <c r="S7" s="354"/>
      <c r="T7" s="354"/>
      <c r="U7" s="355">
        <v>46204</v>
      </c>
      <c r="V7" s="355"/>
      <c r="W7" s="355"/>
      <c r="X7" s="355"/>
      <c r="Y7" s="353" t="s">
        <v>159</v>
      </c>
      <c r="Z7" s="354"/>
      <c r="AA7" s="354"/>
      <c r="AB7" s="350">
        <f>IF(OR(N7="",U7=""),"",(YEAR(U7) - YEAR(N7)) * 12 + MONTH(U7) - MONTH(N7) + 1)</f>
        <v>14</v>
      </c>
      <c r="AC7" s="350"/>
      <c r="AD7" s="350"/>
      <c r="AE7" s="146" t="s">
        <v>120</v>
      </c>
      <c r="AF7" s="147"/>
      <c r="AI7" s="101"/>
      <c r="AJ7" s="102"/>
      <c r="AK7" s="147"/>
      <c r="AL7" s="147"/>
      <c r="AM7" s="102"/>
      <c r="AN7" s="147"/>
      <c r="AO7" s="147"/>
    </row>
    <row r="8" spans="1:41" x14ac:dyDescent="0.15">
      <c r="A8" s="86" t="s">
        <v>92</v>
      </c>
      <c r="AF8" s="87"/>
      <c r="AG8" s="87"/>
      <c r="AH8" s="148"/>
      <c r="AI8" s="19"/>
      <c r="AJ8" s="19"/>
      <c r="AK8" s="87"/>
      <c r="AL8" s="87"/>
      <c r="AM8" s="19"/>
      <c r="AN8" s="87"/>
      <c r="AO8" s="87"/>
    </row>
    <row r="9" spans="1:41" x14ac:dyDescent="0.15">
      <c r="A9" s="290" t="s">
        <v>93</v>
      </c>
      <c r="B9" s="290"/>
      <c r="C9" s="290"/>
      <c r="D9" s="290"/>
      <c r="E9" s="290"/>
      <c r="F9" s="290"/>
      <c r="G9" s="290"/>
      <c r="H9" s="291" t="s">
        <v>94</v>
      </c>
      <c r="I9" s="291"/>
      <c r="J9" s="291"/>
      <c r="K9" s="291"/>
      <c r="L9" s="291"/>
      <c r="M9" s="291"/>
      <c r="N9" s="291"/>
      <c r="O9" s="291"/>
      <c r="P9" s="291"/>
      <c r="Q9" s="291"/>
      <c r="R9" s="291"/>
      <c r="S9" s="291"/>
      <c r="T9" s="291"/>
      <c r="U9" s="291"/>
      <c r="V9" s="291"/>
      <c r="W9" s="291"/>
      <c r="X9" s="291"/>
      <c r="Y9" s="291" t="s">
        <v>95</v>
      </c>
      <c r="Z9" s="291"/>
      <c r="AA9" s="291"/>
      <c r="AB9" s="291"/>
      <c r="AC9" s="291"/>
      <c r="AD9" s="291"/>
      <c r="AE9" s="291"/>
      <c r="AF9" s="87"/>
      <c r="AG9" s="20"/>
      <c r="AH9" s="103"/>
      <c r="AI9" s="87"/>
      <c r="AJ9" s="87"/>
      <c r="AK9" s="19"/>
      <c r="AL9" s="19"/>
      <c r="AM9" s="87"/>
      <c r="AN9" s="87"/>
    </row>
    <row r="10" spans="1:41" x14ac:dyDescent="0.15">
      <c r="A10" s="329" t="s">
        <v>211</v>
      </c>
      <c r="B10" s="329"/>
      <c r="C10" s="329"/>
      <c r="D10" s="329"/>
      <c r="E10" s="329"/>
      <c r="F10" s="329"/>
      <c r="G10" s="329"/>
      <c r="H10" s="320" t="s">
        <v>351</v>
      </c>
      <c r="I10" s="283"/>
      <c r="J10" s="283"/>
      <c r="K10" s="283"/>
      <c r="L10" s="283"/>
      <c r="M10" s="283"/>
      <c r="N10" s="308">
        <f>IF(S2="■",20000*0.7,20000)</f>
        <v>20000</v>
      </c>
      <c r="O10" s="308"/>
      <c r="P10" s="283" t="s">
        <v>1</v>
      </c>
      <c r="Q10" s="283"/>
      <c r="R10" s="283"/>
      <c r="S10" s="283"/>
      <c r="T10" s="283"/>
      <c r="U10" s="283"/>
      <c r="V10" s="283"/>
      <c r="W10" s="283"/>
      <c r="X10" s="284"/>
      <c r="Y10" s="465">
        <f>IF(H7="","",H7*N10)</f>
        <v>20000</v>
      </c>
      <c r="Z10" s="465"/>
      <c r="AA10" s="465"/>
      <c r="AB10" s="465"/>
      <c r="AC10" s="465"/>
      <c r="AD10" s="465"/>
      <c r="AE10" s="465"/>
      <c r="AF10" s="19"/>
      <c r="AG10" s="20"/>
      <c r="AH10" s="21"/>
      <c r="AI10" s="22"/>
      <c r="AJ10" s="22"/>
      <c r="AK10" s="22"/>
      <c r="AL10" s="22"/>
      <c r="AM10" s="22"/>
      <c r="AN10" s="22"/>
    </row>
    <row r="11" spans="1:41" x14ac:dyDescent="0.15">
      <c r="A11" s="320" t="s">
        <v>212</v>
      </c>
      <c r="B11" s="283"/>
      <c r="C11" s="283"/>
      <c r="D11" s="283"/>
      <c r="E11" s="283"/>
      <c r="F11" s="283"/>
      <c r="G11" s="284"/>
      <c r="H11" s="320" t="s">
        <v>352</v>
      </c>
      <c r="I11" s="283"/>
      <c r="J11" s="283"/>
      <c r="K11" s="283"/>
      <c r="L11" s="283"/>
      <c r="M11" s="283"/>
      <c r="N11" s="283"/>
      <c r="O11" s="283"/>
      <c r="P11" s="283"/>
      <c r="Q11" s="283"/>
      <c r="R11" s="8" t="s">
        <v>145</v>
      </c>
      <c r="S11" s="283" t="s">
        <v>353</v>
      </c>
      <c r="T11" s="283"/>
      <c r="U11" s="283"/>
      <c r="V11" s="283"/>
      <c r="W11" s="283"/>
      <c r="X11" s="284"/>
      <c r="Y11" s="322">
        <f>IF(H7="","",IF(R11="■",0,IF(S2="■",250000*0.7,IF(S2="□",250000,""))))</f>
        <v>250000</v>
      </c>
      <c r="Z11" s="323"/>
      <c r="AA11" s="323"/>
      <c r="AB11" s="323"/>
      <c r="AC11" s="323"/>
      <c r="AD11" s="323"/>
      <c r="AE11" s="324"/>
      <c r="AF11" s="19"/>
      <c r="AG11" s="20"/>
      <c r="AH11" s="21"/>
      <c r="AI11" s="104"/>
      <c r="AJ11" s="104"/>
      <c r="AK11" s="22"/>
      <c r="AL11" s="22"/>
      <c r="AM11" s="104"/>
      <c r="AN11" s="22"/>
    </row>
    <row r="12" spans="1:41" x14ac:dyDescent="0.15">
      <c r="A12" s="320" t="s">
        <v>319</v>
      </c>
      <c r="B12" s="283"/>
      <c r="C12" s="283"/>
      <c r="D12" s="283"/>
      <c r="E12" s="283"/>
      <c r="F12" s="283"/>
      <c r="G12" s="284"/>
      <c r="H12" s="384" t="s">
        <v>320</v>
      </c>
      <c r="I12" s="385"/>
      <c r="J12" s="385"/>
      <c r="K12" s="385"/>
      <c r="L12" s="385"/>
      <c r="M12" s="385"/>
      <c r="N12" s="357">
        <f>YC書式521_管理経費ポイント算出表・再生医療!AD32</f>
        <v>1</v>
      </c>
      <c r="O12" s="357"/>
      <c r="P12" s="93" t="s">
        <v>28</v>
      </c>
      <c r="Q12" s="358">
        <f>IF(S2="■",1200*0.7,1200)</f>
        <v>1200</v>
      </c>
      <c r="R12" s="358"/>
      <c r="S12" s="124" t="s">
        <v>1</v>
      </c>
      <c r="T12" s="382" t="s">
        <v>354</v>
      </c>
      <c r="U12" s="382"/>
      <c r="V12" s="382"/>
      <c r="W12" s="382"/>
      <c r="X12" s="383"/>
      <c r="Y12" s="325">
        <f>IF(H7="","",N12*Q12*H7)</f>
        <v>1200</v>
      </c>
      <c r="Z12" s="325"/>
      <c r="AA12" s="325"/>
      <c r="AB12" s="325"/>
      <c r="AC12" s="325"/>
      <c r="AD12" s="325"/>
      <c r="AE12" s="325"/>
      <c r="AF12" s="105"/>
      <c r="AG12" s="20"/>
      <c r="AH12" s="21"/>
      <c r="AI12" s="104"/>
      <c r="AJ12" s="104"/>
      <c r="AK12" s="22"/>
      <c r="AL12" s="22"/>
      <c r="AM12" s="104"/>
      <c r="AN12" s="22"/>
    </row>
    <row r="13" spans="1:41" ht="14.25" thickBot="1" x14ac:dyDescent="0.2">
      <c r="A13" s="304" t="s">
        <v>213</v>
      </c>
      <c r="B13" s="305"/>
      <c r="C13" s="305"/>
      <c r="D13" s="305"/>
      <c r="E13" s="305"/>
      <c r="F13" s="305"/>
      <c r="G13" s="306"/>
      <c r="H13" s="321" t="s">
        <v>214</v>
      </c>
      <c r="I13" s="321"/>
      <c r="J13" s="321"/>
      <c r="K13" s="321"/>
      <c r="L13" s="321"/>
      <c r="M13" s="321"/>
      <c r="N13" s="321"/>
      <c r="O13" s="321"/>
      <c r="P13" s="321"/>
      <c r="Q13" s="321"/>
      <c r="R13" s="321"/>
      <c r="S13" s="321"/>
      <c r="T13" s="321"/>
      <c r="U13" s="321"/>
      <c r="V13" s="321"/>
      <c r="W13" s="321"/>
      <c r="X13" s="321"/>
      <c r="Y13" s="326">
        <f>IF(H7="","",SUM(Y10:AE12)*0.1)</f>
        <v>27120</v>
      </c>
      <c r="Z13" s="327"/>
      <c r="AA13" s="327"/>
      <c r="AB13" s="327"/>
      <c r="AC13" s="327"/>
      <c r="AD13" s="327"/>
      <c r="AE13" s="328"/>
      <c r="AF13" s="87"/>
      <c r="AG13" s="87"/>
      <c r="AH13" s="23"/>
      <c r="AI13" s="104"/>
      <c r="AJ13" s="87"/>
      <c r="AK13" s="87"/>
      <c r="AL13" s="87"/>
      <c r="AM13" s="87"/>
      <c r="AN13" s="87"/>
    </row>
    <row r="14" spans="1:41" ht="14.25" thickTop="1" x14ac:dyDescent="0.15">
      <c r="A14" s="295" t="s">
        <v>355</v>
      </c>
      <c r="B14" s="296"/>
      <c r="C14" s="296"/>
      <c r="D14" s="296"/>
      <c r="E14" s="296"/>
      <c r="F14" s="296"/>
      <c r="G14" s="297"/>
      <c r="H14" s="332" t="s">
        <v>356</v>
      </c>
      <c r="I14" s="333"/>
      <c r="J14" s="333"/>
      <c r="K14" s="333"/>
      <c r="L14" s="333"/>
      <c r="M14" s="333"/>
      <c r="N14" s="333"/>
      <c r="O14" s="333"/>
      <c r="P14" s="333"/>
      <c r="Q14" s="333"/>
      <c r="R14" s="333"/>
      <c r="S14" s="333"/>
      <c r="T14" s="333"/>
      <c r="U14" s="333"/>
      <c r="V14" s="333"/>
      <c r="W14" s="333"/>
      <c r="X14" s="334"/>
      <c r="Y14" s="450">
        <f>Y10</f>
        <v>20000</v>
      </c>
      <c r="Z14" s="451"/>
      <c r="AA14" s="451"/>
      <c r="AB14" s="451"/>
      <c r="AC14" s="451"/>
      <c r="AD14" s="451"/>
      <c r="AE14" s="452"/>
      <c r="AF14" s="87"/>
      <c r="AG14" s="87"/>
      <c r="AH14" s="23"/>
      <c r="AI14" s="104"/>
      <c r="AJ14" s="87"/>
      <c r="AK14" s="87"/>
      <c r="AL14" s="87"/>
      <c r="AM14" s="87"/>
      <c r="AN14" s="87"/>
    </row>
    <row r="15" spans="1:41" x14ac:dyDescent="0.15">
      <c r="A15" s="335" t="s">
        <v>357</v>
      </c>
      <c r="B15" s="336"/>
      <c r="C15" s="336"/>
      <c r="D15" s="336"/>
      <c r="E15" s="336"/>
      <c r="F15" s="336"/>
      <c r="G15" s="337"/>
      <c r="H15" s="338" t="s">
        <v>358</v>
      </c>
      <c r="I15" s="339"/>
      <c r="J15" s="339"/>
      <c r="K15" s="339"/>
      <c r="L15" s="339"/>
      <c r="M15" s="339"/>
      <c r="N15" s="339"/>
      <c r="O15" s="339"/>
      <c r="P15" s="339"/>
      <c r="Q15" s="339"/>
      <c r="R15" s="339"/>
      <c r="S15" s="339"/>
      <c r="T15" s="339"/>
      <c r="U15" s="339"/>
      <c r="V15" s="339"/>
      <c r="W15" s="339"/>
      <c r="X15" s="340"/>
      <c r="Y15" s="460">
        <f>IF(H7="","",SUM(Y11:AE13))</f>
        <v>278320</v>
      </c>
      <c r="Z15" s="460"/>
      <c r="AA15" s="460"/>
      <c r="AB15" s="460"/>
      <c r="AC15" s="460"/>
      <c r="AD15" s="460"/>
      <c r="AE15" s="460"/>
      <c r="AF15" s="87"/>
      <c r="AG15" s="87"/>
      <c r="AH15" s="23"/>
      <c r="AI15" s="104"/>
      <c r="AJ15" s="87"/>
      <c r="AK15" s="87"/>
      <c r="AL15" s="87"/>
      <c r="AM15" s="87"/>
      <c r="AN15" s="87"/>
    </row>
    <row r="16" spans="1:41" ht="14.25" thickBot="1" x14ac:dyDescent="0.2">
      <c r="A16" s="341" t="s">
        <v>359</v>
      </c>
      <c r="B16" s="342"/>
      <c r="C16" s="342"/>
      <c r="D16" s="342"/>
      <c r="E16" s="342"/>
      <c r="F16" s="342"/>
      <c r="G16" s="343"/>
      <c r="H16" s="321" t="s">
        <v>360</v>
      </c>
      <c r="I16" s="321"/>
      <c r="J16" s="321"/>
      <c r="K16" s="321"/>
      <c r="L16" s="321"/>
      <c r="M16" s="321"/>
      <c r="N16" s="321"/>
      <c r="O16" s="321"/>
      <c r="P16" s="321"/>
      <c r="Q16" s="321"/>
      <c r="R16" s="321"/>
      <c r="S16" s="321"/>
      <c r="T16" s="321"/>
      <c r="U16" s="321"/>
      <c r="V16" s="321"/>
      <c r="W16" s="321"/>
      <c r="X16" s="321"/>
      <c r="Y16" s="459">
        <f>IF(H7="","",SUM(Y10:AE13)*0.3)</f>
        <v>89496</v>
      </c>
      <c r="Z16" s="459"/>
      <c r="AA16" s="459"/>
      <c r="AB16" s="459"/>
      <c r="AC16" s="459"/>
      <c r="AD16" s="459"/>
      <c r="AE16" s="459"/>
      <c r="AF16" s="87"/>
      <c r="AG16" s="87"/>
      <c r="AH16" s="23"/>
      <c r="AI16" s="104"/>
      <c r="AJ16" s="87"/>
      <c r="AK16" s="87"/>
      <c r="AL16" s="87"/>
      <c r="AM16" s="87"/>
      <c r="AN16" s="87"/>
    </row>
    <row r="17" spans="1:41" ht="14.25" thickTop="1" x14ac:dyDescent="0.15">
      <c r="A17" s="295" t="s">
        <v>361</v>
      </c>
      <c r="B17" s="296"/>
      <c r="C17" s="296"/>
      <c r="D17" s="296"/>
      <c r="E17" s="296"/>
      <c r="F17" s="296"/>
      <c r="G17" s="297"/>
      <c r="H17" s="332" t="s">
        <v>362</v>
      </c>
      <c r="I17" s="333"/>
      <c r="J17" s="333"/>
      <c r="K17" s="333"/>
      <c r="L17" s="333"/>
      <c r="M17" s="333"/>
      <c r="N17" s="333"/>
      <c r="O17" s="333"/>
      <c r="P17" s="333"/>
      <c r="Q17" s="333"/>
      <c r="R17" s="333"/>
      <c r="S17" s="333"/>
      <c r="T17" s="333"/>
      <c r="U17" s="334"/>
      <c r="V17" s="454" t="s">
        <v>96</v>
      </c>
      <c r="W17" s="455"/>
      <c r="X17" s="456"/>
      <c r="Y17" s="461">
        <f>IF(H7="","",SUM(Y14:AE16))</f>
        <v>387816</v>
      </c>
      <c r="Z17" s="461"/>
      <c r="AA17" s="461"/>
      <c r="AB17" s="461"/>
      <c r="AC17" s="461"/>
      <c r="AD17" s="461"/>
      <c r="AE17" s="461"/>
      <c r="AF17" s="87"/>
      <c r="AG17" s="87"/>
      <c r="AH17" s="23"/>
      <c r="AI17" s="87"/>
      <c r="AJ17" s="87"/>
      <c r="AK17" s="87"/>
      <c r="AL17" s="87"/>
      <c r="AM17" s="87"/>
      <c r="AN17" s="87"/>
    </row>
    <row r="18" spans="1:41" ht="13.15" customHeight="1" x14ac:dyDescent="0.15">
      <c r="Y18" s="367"/>
      <c r="Z18" s="367"/>
      <c r="AA18" s="367"/>
      <c r="AB18" s="367"/>
      <c r="AC18" s="367"/>
      <c r="AD18" s="367"/>
      <c r="AE18" s="367"/>
      <c r="AF18" s="87"/>
      <c r="AG18" s="87"/>
      <c r="AH18" s="148"/>
      <c r="AI18" s="19"/>
      <c r="AJ18" s="19"/>
      <c r="AK18" s="87"/>
      <c r="AL18" s="87"/>
      <c r="AM18" s="19"/>
      <c r="AN18" s="87"/>
      <c r="AO18" s="87"/>
    </row>
    <row r="19" spans="1:41" x14ac:dyDescent="0.15">
      <c r="A19" s="290" t="s">
        <v>97</v>
      </c>
      <c r="B19" s="290"/>
      <c r="C19" s="290"/>
      <c r="D19" s="290"/>
      <c r="E19" s="290"/>
      <c r="F19" s="290"/>
      <c r="G19" s="290"/>
      <c r="H19" s="291" t="s">
        <v>94</v>
      </c>
      <c r="I19" s="291"/>
      <c r="J19" s="291"/>
      <c r="K19" s="291"/>
      <c r="L19" s="291"/>
      <c r="M19" s="291"/>
      <c r="N19" s="291"/>
      <c r="O19" s="291"/>
      <c r="P19" s="291"/>
      <c r="Q19" s="291"/>
      <c r="R19" s="291"/>
      <c r="S19" s="291"/>
      <c r="T19" s="291"/>
      <c r="U19" s="291"/>
      <c r="V19" s="291"/>
      <c r="W19" s="291"/>
      <c r="X19" s="291"/>
      <c r="Y19" s="291" t="s">
        <v>95</v>
      </c>
      <c r="Z19" s="291"/>
      <c r="AA19" s="291"/>
      <c r="AB19" s="291"/>
      <c r="AC19" s="291"/>
      <c r="AD19" s="291"/>
      <c r="AE19" s="291"/>
      <c r="AF19" s="87"/>
      <c r="AG19" s="20"/>
      <c r="AH19" s="103"/>
      <c r="AI19" s="87"/>
      <c r="AJ19" s="87"/>
      <c r="AK19" s="19"/>
      <c r="AL19" s="19"/>
      <c r="AM19" s="87"/>
      <c r="AN19" s="87"/>
      <c r="AO19" s="87"/>
    </row>
    <row r="20" spans="1:41" ht="13.15" customHeight="1" x14ac:dyDescent="0.15">
      <c r="A20" s="320" t="s">
        <v>363</v>
      </c>
      <c r="B20" s="283"/>
      <c r="C20" s="283"/>
      <c r="D20" s="283"/>
      <c r="E20" s="283"/>
      <c r="F20" s="283"/>
      <c r="G20" s="284"/>
      <c r="H20" s="462" t="s">
        <v>364</v>
      </c>
      <c r="I20" s="386"/>
      <c r="J20" s="386"/>
      <c r="K20" s="386"/>
      <c r="L20" s="386"/>
      <c r="M20" s="386"/>
      <c r="N20" s="386"/>
      <c r="O20" s="386"/>
      <c r="P20" s="386"/>
      <c r="Q20" s="386"/>
      <c r="R20" s="8" t="s">
        <v>145</v>
      </c>
      <c r="S20" s="386" t="s">
        <v>365</v>
      </c>
      <c r="T20" s="386"/>
      <c r="U20" s="386"/>
      <c r="V20" s="386"/>
      <c r="W20" s="386"/>
      <c r="X20" s="387"/>
      <c r="Y20" s="307">
        <f>IF(H7="","",IF(AND(S2="■",R20="■"),35000*0.7,IF(AND(S2="■",R20="□"),70000*0.7,IF(R20="■",35000,70000))))</f>
        <v>70000</v>
      </c>
      <c r="Z20" s="308"/>
      <c r="AA20" s="308"/>
      <c r="AB20" s="308"/>
      <c r="AC20" s="308"/>
      <c r="AD20" s="308"/>
      <c r="AE20" s="309"/>
      <c r="AF20" s="87"/>
      <c r="AG20" s="20"/>
      <c r="AH20" s="103"/>
      <c r="AI20" s="87"/>
      <c r="AJ20" s="87"/>
      <c r="AK20" s="19"/>
      <c r="AL20" s="19"/>
      <c r="AM20" s="87"/>
      <c r="AN20" s="87"/>
      <c r="AO20" s="87"/>
    </row>
    <row r="21" spans="1:41" ht="13.15" customHeight="1" thickBot="1" x14ac:dyDescent="0.2">
      <c r="A21" s="388" t="s">
        <v>366</v>
      </c>
      <c r="B21" s="389"/>
      <c r="C21" s="389"/>
      <c r="D21" s="389"/>
      <c r="E21" s="389"/>
      <c r="F21" s="389"/>
      <c r="G21" s="390"/>
      <c r="H21" s="463" t="s">
        <v>367</v>
      </c>
      <c r="I21" s="464"/>
      <c r="J21" s="464"/>
      <c r="K21" s="464"/>
      <c r="L21" s="464"/>
      <c r="M21" s="464"/>
      <c r="N21" s="464"/>
      <c r="O21" s="464"/>
      <c r="P21" s="464"/>
      <c r="Q21" s="464"/>
      <c r="R21" s="140" t="str">
        <f>R11</f>
        <v>□</v>
      </c>
      <c r="S21" s="389" t="str">
        <f>S11</f>
        <v>外部IRBに審査を委託</v>
      </c>
      <c r="T21" s="389"/>
      <c r="U21" s="389"/>
      <c r="V21" s="389"/>
      <c r="W21" s="389"/>
      <c r="X21" s="390"/>
      <c r="Y21" s="310">
        <f>IF(H7="","",IF(R11="■",0,IF(S2="■",100000*0.7,100000)))</f>
        <v>100000</v>
      </c>
      <c r="Z21" s="311"/>
      <c r="AA21" s="311"/>
      <c r="AB21" s="311"/>
      <c r="AC21" s="311"/>
      <c r="AD21" s="311"/>
      <c r="AE21" s="312"/>
      <c r="AF21" s="19"/>
      <c r="AG21" s="20"/>
      <c r="AH21" s="21"/>
      <c r="AI21" s="23"/>
      <c r="AJ21" s="23"/>
      <c r="AK21" s="23"/>
      <c r="AL21" s="23"/>
      <c r="AM21" s="23"/>
      <c r="AN21" s="23"/>
      <c r="AO21" s="19"/>
    </row>
    <row r="22" spans="1:41" ht="14.25" thickTop="1" x14ac:dyDescent="0.15">
      <c r="A22" s="295" t="s">
        <v>368</v>
      </c>
      <c r="B22" s="296"/>
      <c r="C22" s="296"/>
      <c r="D22" s="296"/>
      <c r="E22" s="296"/>
      <c r="F22" s="296"/>
      <c r="G22" s="297"/>
      <c r="H22" s="313" t="s">
        <v>369</v>
      </c>
      <c r="I22" s="314"/>
      <c r="J22" s="314"/>
      <c r="K22" s="314"/>
      <c r="L22" s="314"/>
      <c r="M22" s="314"/>
      <c r="N22" s="315">
        <f>AB7</f>
        <v>14</v>
      </c>
      <c r="O22" s="315"/>
      <c r="P22" s="314" t="s">
        <v>120</v>
      </c>
      <c r="Q22" s="314"/>
      <c r="R22" s="314"/>
      <c r="S22" s="314"/>
      <c r="T22" s="314"/>
      <c r="U22" s="314"/>
      <c r="V22" s="314"/>
      <c r="W22" s="314"/>
      <c r="X22" s="316"/>
      <c r="Y22" s="298">
        <f>IF(H7="","",(Y20*N22))</f>
        <v>980000</v>
      </c>
      <c r="Z22" s="299"/>
      <c r="AA22" s="299"/>
      <c r="AB22" s="299"/>
      <c r="AC22" s="299"/>
      <c r="AD22" s="299"/>
      <c r="AE22" s="300"/>
      <c r="AF22" s="19"/>
      <c r="AG22" s="20"/>
      <c r="AH22" s="21"/>
      <c r="AI22" s="23"/>
      <c r="AJ22" s="23"/>
      <c r="AK22" s="23"/>
      <c r="AL22" s="23"/>
      <c r="AM22" s="23"/>
      <c r="AN22" s="23"/>
      <c r="AO22" s="19"/>
    </row>
    <row r="23" spans="1:41" ht="14.25" thickBot="1" x14ac:dyDescent="0.2">
      <c r="A23" s="391" t="s">
        <v>370</v>
      </c>
      <c r="B23" s="392"/>
      <c r="C23" s="392"/>
      <c r="D23" s="392"/>
      <c r="E23" s="392"/>
      <c r="F23" s="392"/>
      <c r="G23" s="393"/>
      <c r="H23" s="388" t="s">
        <v>371</v>
      </c>
      <c r="I23" s="389"/>
      <c r="J23" s="389"/>
      <c r="K23" s="389"/>
      <c r="L23" s="389"/>
      <c r="M23" s="389"/>
      <c r="N23" s="394">
        <f>IF(AB7="","",ROUNDDOWN(AB7/12,0))</f>
        <v>1</v>
      </c>
      <c r="O23" s="394"/>
      <c r="P23" s="389" t="s">
        <v>246</v>
      </c>
      <c r="Q23" s="389"/>
      <c r="R23" s="389"/>
      <c r="S23" s="389"/>
      <c r="T23" s="389"/>
      <c r="U23" s="389"/>
      <c r="V23" s="389"/>
      <c r="W23" s="389"/>
      <c r="X23" s="390"/>
      <c r="Y23" s="310">
        <f>IF(H7="","",(Y21*N23))</f>
        <v>100000</v>
      </c>
      <c r="Z23" s="311"/>
      <c r="AA23" s="311"/>
      <c r="AB23" s="311"/>
      <c r="AC23" s="311"/>
      <c r="AD23" s="311"/>
      <c r="AE23" s="312"/>
      <c r="AF23" s="19"/>
      <c r="AG23" s="20"/>
      <c r="AH23" s="21"/>
      <c r="AI23" s="23"/>
      <c r="AJ23" s="23"/>
      <c r="AK23" s="23"/>
      <c r="AL23" s="23"/>
      <c r="AM23" s="23"/>
      <c r="AN23" s="23"/>
      <c r="AO23" s="19"/>
    </row>
    <row r="24" spans="1:41" ht="14.25" thickTop="1" x14ac:dyDescent="0.15">
      <c r="A24" s="295" t="s">
        <v>98</v>
      </c>
      <c r="B24" s="296"/>
      <c r="C24" s="296"/>
      <c r="D24" s="296"/>
      <c r="E24" s="296"/>
      <c r="F24" s="296"/>
      <c r="G24" s="297"/>
      <c r="H24" s="313" t="s">
        <v>372</v>
      </c>
      <c r="I24" s="314"/>
      <c r="J24" s="314"/>
      <c r="K24" s="314"/>
      <c r="L24" s="314"/>
      <c r="M24" s="314"/>
      <c r="N24" s="314"/>
      <c r="O24" s="314"/>
      <c r="P24" s="314"/>
      <c r="Q24" s="314"/>
      <c r="R24" s="314"/>
      <c r="S24" s="314"/>
      <c r="T24" s="314"/>
      <c r="U24" s="316"/>
      <c r="V24" s="271" t="s">
        <v>99</v>
      </c>
      <c r="W24" s="272"/>
      <c r="X24" s="273"/>
      <c r="Y24" s="298">
        <f>IF(H7="","",SUM(Y22:AE23))</f>
        <v>1080000</v>
      </c>
      <c r="Z24" s="299"/>
      <c r="AA24" s="299"/>
      <c r="AB24" s="299"/>
      <c r="AC24" s="299"/>
      <c r="AD24" s="299"/>
      <c r="AE24" s="300"/>
      <c r="AF24" s="19"/>
      <c r="AG24" s="20"/>
      <c r="AH24" s="21"/>
      <c r="AI24" s="23"/>
      <c r="AJ24" s="23"/>
      <c r="AK24" s="23"/>
      <c r="AL24" s="23"/>
      <c r="AM24" s="23"/>
      <c r="AN24" s="23"/>
      <c r="AO24" s="19"/>
    </row>
    <row r="25" spans="1:41" ht="13.15" customHeight="1" x14ac:dyDescent="0.15">
      <c r="AH25" s="148"/>
      <c r="AI25" s="19"/>
      <c r="AJ25" s="19"/>
      <c r="AK25" s="87"/>
      <c r="AL25" s="87"/>
      <c r="AM25" s="19"/>
      <c r="AN25" s="87"/>
    </row>
    <row r="26" spans="1:41" x14ac:dyDescent="0.15">
      <c r="A26" s="290" t="s">
        <v>100</v>
      </c>
      <c r="B26" s="290"/>
      <c r="C26" s="290"/>
      <c r="D26" s="290"/>
      <c r="E26" s="290"/>
      <c r="F26" s="290"/>
      <c r="G26" s="290"/>
      <c r="H26" s="291" t="s">
        <v>94</v>
      </c>
      <c r="I26" s="291"/>
      <c r="J26" s="291"/>
      <c r="K26" s="291"/>
      <c r="L26" s="291"/>
      <c r="M26" s="291"/>
      <c r="N26" s="291"/>
      <c r="O26" s="291"/>
      <c r="P26" s="291"/>
      <c r="Q26" s="291"/>
      <c r="R26" s="291"/>
      <c r="S26" s="291"/>
      <c r="T26" s="291"/>
      <c r="U26" s="291"/>
      <c r="V26" s="291"/>
      <c r="W26" s="291"/>
      <c r="X26" s="291"/>
      <c r="Y26" s="291" t="s">
        <v>95</v>
      </c>
      <c r="Z26" s="291"/>
      <c r="AA26" s="291"/>
      <c r="AB26" s="291"/>
      <c r="AC26" s="291"/>
      <c r="AD26" s="291"/>
      <c r="AE26" s="291"/>
      <c r="AF26" s="87"/>
      <c r="AG26" s="20"/>
      <c r="AH26" s="103"/>
      <c r="AI26" s="87"/>
      <c r="AJ26" s="87"/>
      <c r="AK26" s="19"/>
      <c r="AL26" s="19"/>
      <c r="AM26" s="87"/>
      <c r="AN26" s="87"/>
      <c r="AO26" s="87"/>
    </row>
    <row r="27" spans="1:41" ht="27.6" customHeight="1" x14ac:dyDescent="0.15">
      <c r="A27" s="304" t="s">
        <v>373</v>
      </c>
      <c r="B27" s="305"/>
      <c r="C27" s="305"/>
      <c r="D27" s="305"/>
      <c r="E27" s="305"/>
      <c r="F27" s="305"/>
      <c r="G27" s="306"/>
      <c r="H27" s="317" t="s">
        <v>321</v>
      </c>
      <c r="I27" s="318"/>
      <c r="J27" s="318"/>
      <c r="K27" s="318"/>
      <c r="L27" s="318"/>
      <c r="M27" s="318"/>
      <c r="N27" s="259">
        <f>YC書式520_研究経費ポイント算出表・再生医療!AD38</f>
        <v>12</v>
      </c>
      <c r="O27" s="259"/>
      <c r="P27" s="91" t="s">
        <v>28</v>
      </c>
      <c r="Q27" s="319">
        <f>IF(S2="■",6500*0.7,6500)</f>
        <v>6500</v>
      </c>
      <c r="R27" s="319"/>
      <c r="S27" s="305" t="s">
        <v>1</v>
      </c>
      <c r="T27" s="305"/>
      <c r="U27" s="305"/>
      <c r="V27" s="305"/>
      <c r="W27" s="305"/>
      <c r="X27" s="306"/>
      <c r="Y27" s="301">
        <f>IF(H7="","",IF(N27="─","",N27*Q27))</f>
        <v>78000</v>
      </c>
      <c r="Z27" s="302"/>
      <c r="AA27" s="302"/>
      <c r="AB27" s="302"/>
      <c r="AC27" s="302"/>
      <c r="AD27" s="302"/>
      <c r="AE27" s="303"/>
      <c r="AF27" s="19"/>
      <c r="AG27" s="20"/>
      <c r="AH27" s="21"/>
      <c r="AI27" s="23"/>
      <c r="AJ27" s="23"/>
      <c r="AK27" s="22"/>
      <c r="AL27" s="22"/>
      <c r="AM27" s="23"/>
      <c r="AN27" s="22"/>
      <c r="AO27" s="19"/>
    </row>
    <row r="28" spans="1:41" ht="27.6" customHeight="1" x14ac:dyDescent="0.15">
      <c r="A28" s="304" t="s">
        <v>374</v>
      </c>
      <c r="B28" s="305"/>
      <c r="C28" s="305"/>
      <c r="D28" s="305"/>
      <c r="E28" s="305"/>
      <c r="F28" s="305"/>
      <c r="G28" s="306"/>
      <c r="H28" s="317" t="s">
        <v>321</v>
      </c>
      <c r="I28" s="318"/>
      <c r="J28" s="318"/>
      <c r="K28" s="318"/>
      <c r="L28" s="318"/>
      <c r="M28" s="318"/>
      <c r="N28" s="259">
        <f>YC書式520_研究経費ポイント算出表・再生医療!AD38</f>
        <v>12</v>
      </c>
      <c r="O28" s="259"/>
      <c r="P28" s="91" t="s">
        <v>28</v>
      </c>
      <c r="Q28" s="308">
        <f>IF(AND(S2="■",T29="□"),7500*0.7,IF(T29="■",0,7500))</f>
        <v>7500</v>
      </c>
      <c r="R28" s="308"/>
      <c r="S28" s="305" t="s">
        <v>1</v>
      </c>
      <c r="T28" s="305"/>
      <c r="U28" s="305"/>
      <c r="V28" s="305"/>
      <c r="W28" s="305"/>
      <c r="X28" s="306"/>
      <c r="Y28" s="301">
        <f>IF(H7="","",IF(N28="─","",N28*Q28))</f>
        <v>90000</v>
      </c>
      <c r="Z28" s="302"/>
      <c r="AA28" s="302"/>
      <c r="AB28" s="302"/>
      <c r="AC28" s="302"/>
      <c r="AD28" s="302"/>
      <c r="AE28" s="303"/>
      <c r="AF28" s="19"/>
      <c r="AG28" s="20"/>
      <c r="AH28" s="21"/>
      <c r="AI28" s="23"/>
      <c r="AJ28" s="23"/>
      <c r="AK28" s="22"/>
      <c r="AL28" s="22"/>
      <c r="AM28" s="23"/>
      <c r="AN28" s="22"/>
      <c r="AO28" s="19"/>
    </row>
    <row r="29" spans="1:41" ht="27.6" customHeight="1" x14ac:dyDescent="0.15">
      <c r="A29" s="292" t="s">
        <v>375</v>
      </c>
      <c r="B29" s="293"/>
      <c r="C29" s="293"/>
      <c r="D29" s="293"/>
      <c r="E29" s="293"/>
      <c r="F29" s="293"/>
      <c r="G29" s="294"/>
      <c r="H29" s="317" t="s">
        <v>321</v>
      </c>
      <c r="I29" s="318"/>
      <c r="J29" s="318"/>
      <c r="K29" s="318"/>
      <c r="L29" s="318"/>
      <c r="M29" s="318"/>
      <c r="N29" s="259">
        <f>YC書式520_研究経費ポイント算出表・再生医療!AD38</f>
        <v>12</v>
      </c>
      <c r="O29" s="259"/>
      <c r="P29" s="91" t="s">
        <v>28</v>
      </c>
      <c r="Q29" s="308">
        <f>IF(AND(S2="■",T29="■"),1500*0.7,IF(T29="■",1500,0))</f>
        <v>0</v>
      </c>
      <c r="R29" s="308"/>
      <c r="S29" s="139" t="s">
        <v>1</v>
      </c>
      <c r="T29" s="8" t="s">
        <v>145</v>
      </c>
      <c r="U29" s="386" t="s">
        <v>377</v>
      </c>
      <c r="V29" s="386"/>
      <c r="W29" s="386"/>
      <c r="X29" s="387"/>
      <c r="Y29" s="301">
        <f>IF(H7="","",IF(N29="─","",N29*Q29))</f>
        <v>0</v>
      </c>
      <c r="Z29" s="302"/>
      <c r="AA29" s="302"/>
      <c r="AB29" s="302"/>
      <c r="AC29" s="302"/>
      <c r="AD29" s="302"/>
      <c r="AE29" s="303"/>
      <c r="AF29" s="19"/>
      <c r="AG29" s="20"/>
      <c r="AH29" s="21"/>
      <c r="AI29" s="23"/>
      <c r="AJ29" s="23"/>
      <c r="AK29" s="22"/>
      <c r="AL29" s="22"/>
      <c r="AM29" s="23"/>
      <c r="AN29" s="22"/>
      <c r="AO29" s="19"/>
    </row>
    <row r="30" spans="1:41" ht="14.25" thickBot="1" x14ac:dyDescent="0.2">
      <c r="A30" s="329" t="s">
        <v>376</v>
      </c>
      <c r="B30" s="329"/>
      <c r="C30" s="329"/>
      <c r="D30" s="329"/>
      <c r="E30" s="329"/>
      <c r="F30" s="329"/>
      <c r="G30" s="329"/>
      <c r="H30" s="453" t="s">
        <v>378</v>
      </c>
      <c r="I30" s="453"/>
      <c r="J30" s="453"/>
      <c r="K30" s="453"/>
      <c r="L30" s="453"/>
      <c r="M30" s="453"/>
      <c r="N30" s="453"/>
      <c r="O30" s="453"/>
      <c r="P30" s="453"/>
      <c r="Q30" s="453"/>
      <c r="R30" s="453"/>
      <c r="S30" s="453"/>
      <c r="T30" s="453"/>
      <c r="U30" s="453"/>
      <c r="V30" s="453"/>
      <c r="W30" s="453"/>
      <c r="X30" s="453"/>
      <c r="Y30" s="381">
        <f>IF(H7="","",SUM(Y27:AE29)*0.1)</f>
        <v>16800</v>
      </c>
      <c r="Z30" s="381"/>
      <c r="AA30" s="381"/>
      <c r="AB30" s="381"/>
      <c r="AC30" s="381"/>
      <c r="AD30" s="381"/>
      <c r="AE30" s="381"/>
      <c r="AF30" s="19"/>
      <c r="AG30" s="19"/>
      <c r="AI30" s="87"/>
      <c r="AJ30" s="87"/>
      <c r="AK30" s="87"/>
      <c r="AL30" s="87"/>
      <c r="AM30" s="87"/>
      <c r="AN30" s="87"/>
      <c r="AO30" s="19"/>
    </row>
    <row r="31" spans="1:41" ht="15" thickTop="1" thickBot="1" x14ac:dyDescent="0.2">
      <c r="A31" s="295" t="s">
        <v>379</v>
      </c>
      <c r="B31" s="296"/>
      <c r="C31" s="296"/>
      <c r="D31" s="296"/>
      <c r="E31" s="296"/>
      <c r="F31" s="296"/>
      <c r="G31" s="297"/>
      <c r="H31" s="313" t="s">
        <v>380</v>
      </c>
      <c r="I31" s="314"/>
      <c r="J31" s="314"/>
      <c r="K31" s="314"/>
      <c r="L31" s="314"/>
      <c r="M31" s="314"/>
      <c r="N31" s="314"/>
      <c r="O31" s="314"/>
      <c r="P31" s="314"/>
      <c r="Q31" s="314"/>
      <c r="R31" s="314"/>
      <c r="S31" s="314"/>
      <c r="T31" s="314"/>
      <c r="U31" s="314"/>
      <c r="V31" s="314"/>
      <c r="W31" s="314"/>
      <c r="X31" s="316"/>
      <c r="Y31" s="378">
        <f>IF(H7="","",Y27)</f>
        <v>78000</v>
      </c>
      <c r="Z31" s="379"/>
      <c r="AA31" s="379"/>
      <c r="AB31" s="379"/>
      <c r="AC31" s="379"/>
      <c r="AD31" s="379"/>
      <c r="AE31" s="380"/>
      <c r="AF31" s="19"/>
      <c r="AG31" s="20"/>
      <c r="AI31" s="397" t="s">
        <v>405</v>
      </c>
      <c r="AJ31" s="397" t="s">
        <v>406</v>
      </c>
      <c r="AK31" s="22"/>
      <c r="AL31" s="22"/>
      <c r="AM31" s="24"/>
      <c r="AN31" s="22"/>
      <c r="AO31" s="19"/>
    </row>
    <row r="32" spans="1:41" ht="15" thickTop="1" thickBot="1" x14ac:dyDescent="0.2">
      <c r="A32" s="335" t="s">
        <v>381</v>
      </c>
      <c r="B32" s="336"/>
      <c r="C32" s="336"/>
      <c r="D32" s="336"/>
      <c r="E32" s="336"/>
      <c r="F32" s="336"/>
      <c r="G32" s="337"/>
      <c r="H32" s="320" t="s">
        <v>382</v>
      </c>
      <c r="I32" s="283"/>
      <c r="J32" s="283"/>
      <c r="K32" s="283"/>
      <c r="L32" s="283"/>
      <c r="M32" s="283"/>
      <c r="N32" s="283"/>
      <c r="O32" s="283"/>
      <c r="P32" s="283"/>
      <c r="Q32" s="283"/>
      <c r="R32" s="283"/>
      <c r="S32" s="283"/>
      <c r="T32" s="283"/>
      <c r="U32" s="283"/>
      <c r="V32" s="283"/>
      <c r="W32" s="283"/>
      <c r="X32" s="284"/>
      <c r="Y32" s="457">
        <f>IF(H7="","",SUM(Y28:AE30))</f>
        <v>106800</v>
      </c>
      <c r="Z32" s="350"/>
      <c r="AA32" s="350"/>
      <c r="AB32" s="350"/>
      <c r="AC32" s="350"/>
      <c r="AD32" s="350"/>
      <c r="AE32" s="458"/>
      <c r="AF32" s="19"/>
      <c r="AG32" s="20"/>
      <c r="AH32" s="106" t="s">
        <v>407</v>
      </c>
      <c r="AI32" s="398"/>
      <c r="AJ32" s="398"/>
      <c r="AK32" s="22"/>
      <c r="AL32" s="22"/>
      <c r="AM32" s="24"/>
      <c r="AN32" s="22"/>
      <c r="AO32" s="19"/>
    </row>
    <row r="33" spans="1:41" ht="15" thickTop="1" thickBot="1" x14ac:dyDescent="0.2">
      <c r="A33" s="341" t="s">
        <v>383</v>
      </c>
      <c r="B33" s="342"/>
      <c r="C33" s="342"/>
      <c r="D33" s="342"/>
      <c r="E33" s="342"/>
      <c r="F33" s="342"/>
      <c r="G33" s="343"/>
      <c r="H33" s="406" t="s">
        <v>384</v>
      </c>
      <c r="I33" s="407"/>
      <c r="J33" s="407"/>
      <c r="K33" s="407"/>
      <c r="L33" s="407"/>
      <c r="M33" s="407"/>
      <c r="N33" s="407"/>
      <c r="O33" s="407"/>
      <c r="P33" s="407"/>
      <c r="Q33" s="407"/>
      <c r="R33" s="407"/>
      <c r="S33" s="407"/>
      <c r="T33" s="407"/>
      <c r="U33" s="407"/>
      <c r="V33" s="407"/>
      <c r="W33" s="407"/>
      <c r="X33" s="408"/>
      <c r="Y33" s="403">
        <f>IF(H7="","",IF(Y27="","",SUM(Y27:AE30)*0.3))</f>
        <v>55440</v>
      </c>
      <c r="Z33" s="403"/>
      <c r="AA33" s="403"/>
      <c r="AB33" s="403"/>
      <c r="AC33" s="403"/>
      <c r="AD33" s="403"/>
      <c r="AE33" s="403"/>
      <c r="AF33" s="19"/>
      <c r="AG33" s="19"/>
      <c r="AH33" s="107">
        <v>1.1000000000000001</v>
      </c>
      <c r="AI33" s="25">
        <f>Q27</f>
        <v>6500</v>
      </c>
      <c r="AJ33" s="25">
        <f>IF(AND(T29="■",S2="■"),1500*0.7,IF(AND(T29="■",S2="□"),1500,IF(AND(T29="□",S2="■"),7500*0.7,7500)))</f>
        <v>7500</v>
      </c>
      <c r="AK33" s="87"/>
      <c r="AL33" s="87"/>
      <c r="AM33" s="23"/>
      <c r="AN33" s="87"/>
      <c r="AO33" s="19"/>
    </row>
    <row r="34" spans="1:41" ht="14.25" thickTop="1" x14ac:dyDescent="0.15">
      <c r="A34" s="295" t="s">
        <v>385</v>
      </c>
      <c r="B34" s="296"/>
      <c r="C34" s="296"/>
      <c r="D34" s="296"/>
      <c r="E34" s="296"/>
      <c r="F34" s="296"/>
      <c r="G34" s="297"/>
      <c r="H34" s="332" t="s">
        <v>386</v>
      </c>
      <c r="I34" s="333"/>
      <c r="J34" s="333"/>
      <c r="K34" s="333"/>
      <c r="L34" s="333"/>
      <c r="M34" s="333"/>
      <c r="N34" s="333"/>
      <c r="O34" s="333"/>
      <c r="P34" s="333"/>
      <c r="Q34" s="333"/>
      <c r="R34" s="333"/>
      <c r="S34" s="333"/>
      <c r="T34" s="333"/>
      <c r="U34" s="334"/>
      <c r="V34" s="454" t="s">
        <v>101</v>
      </c>
      <c r="W34" s="455"/>
      <c r="X34" s="456"/>
      <c r="Y34" s="404">
        <f>IF(H7="","",SUM(Y31:AE33))</f>
        <v>240240</v>
      </c>
      <c r="Z34" s="404"/>
      <c r="AA34" s="405"/>
      <c r="AB34" s="405"/>
      <c r="AC34" s="405"/>
      <c r="AD34" s="405"/>
      <c r="AE34" s="405"/>
      <c r="AF34" s="87"/>
      <c r="AI34" s="101"/>
      <c r="AJ34" s="101"/>
      <c r="AK34" s="87"/>
      <c r="AL34" s="87"/>
      <c r="AM34" s="101"/>
      <c r="AN34" s="87"/>
      <c r="AO34" s="87"/>
    </row>
    <row r="35" spans="1:41" ht="9.9499999999999993" customHeight="1" x14ac:dyDescent="0.15">
      <c r="AI35" s="291" t="s">
        <v>408</v>
      </c>
      <c r="AJ35" s="399" t="s">
        <v>409</v>
      </c>
      <c r="AK35" s="401" t="s">
        <v>410</v>
      </c>
      <c r="AL35" s="271"/>
      <c r="AM35" s="412" t="s">
        <v>411</v>
      </c>
      <c r="AN35" s="263" t="s">
        <v>412</v>
      </c>
    </row>
    <row r="36" spans="1:41" x14ac:dyDescent="0.15">
      <c r="A36" s="287" t="s">
        <v>102</v>
      </c>
      <c r="B36" s="287"/>
      <c r="C36" s="287"/>
      <c r="D36" s="287"/>
      <c r="E36" s="287"/>
      <c r="F36" s="287"/>
      <c r="G36" s="287"/>
      <c r="H36" s="287"/>
      <c r="I36" s="287"/>
      <c r="J36" s="287"/>
      <c r="K36" s="287"/>
      <c r="L36" s="287"/>
      <c r="M36" s="287"/>
      <c r="N36" s="287"/>
      <c r="O36" s="287"/>
      <c r="P36" s="287"/>
      <c r="Q36" s="287"/>
      <c r="R36" s="287"/>
      <c r="S36" s="287"/>
      <c r="T36" s="287"/>
      <c r="U36" s="287"/>
      <c r="V36" s="287"/>
      <c r="Y36" s="287" t="s">
        <v>244</v>
      </c>
      <c r="Z36" s="287"/>
      <c r="AA36" s="287"/>
      <c r="AB36" s="287"/>
      <c r="AG36" s="26"/>
      <c r="AH36" s="100" t="s">
        <v>413</v>
      </c>
      <c r="AI36" s="291"/>
      <c r="AJ36" s="400"/>
      <c r="AK36" s="149" t="s">
        <v>414</v>
      </c>
      <c r="AL36" s="141" t="s">
        <v>415</v>
      </c>
      <c r="AM36" s="412"/>
      <c r="AN36" s="266"/>
    </row>
    <row r="37" spans="1:41" ht="14.25" x14ac:dyDescent="0.15">
      <c r="B37" s="86" t="s">
        <v>190</v>
      </c>
      <c r="C37" s="287" t="s">
        <v>184</v>
      </c>
      <c r="D37" s="287"/>
      <c r="E37" s="287"/>
      <c r="F37" s="287"/>
      <c r="G37" s="287"/>
      <c r="H37" s="287"/>
      <c r="I37" s="287"/>
      <c r="J37" s="287"/>
      <c r="K37" s="287"/>
      <c r="L37" s="287"/>
      <c r="M37" s="287"/>
      <c r="N37" s="287"/>
      <c r="O37" s="287"/>
      <c r="P37" s="287"/>
      <c r="Q37" s="287"/>
      <c r="R37" s="287"/>
      <c r="S37" s="287"/>
      <c r="T37" s="287"/>
      <c r="U37" s="287"/>
      <c r="V37" s="287"/>
      <c r="W37" s="367" t="s">
        <v>105</v>
      </c>
      <c r="X37" s="367"/>
      <c r="Y37" s="288">
        <f>IF(H7="","",Y17)</f>
        <v>387816</v>
      </c>
      <c r="Z37" s="288"/>
      <c r="AA37" s="288"/>
      <c r="AB37" s="288"/>
      <c r="AC37" s="16" t="s">
        <v>1</v>
      </c>
      <c r="AD37" s="18"/>
      <c r="AG37" s="142" t="str">
        <f>C37</f>
        <v>（ア）契約単位合計</v>
      </c>
      <c r="AH37" s="110">
        <f>ROUNDDOWN(Y37*$AH$33,0)</f>
        <v>426597</v>
      </c>
      <c r="AI37" s="110">
        <f>ROUNDDOWN(Y10*$AH$33,0)</f>
        <v>22000</v>
      </c>
      <c r="AJ37" s="110">
        <v>0</v>
      </c>
      <c r="AK37" s="27">
        <f>INT(AH37*0.01)</f>
        <v>4265</v>
      </c>
      <c r="AL37" s="28">
        <f>AK37*4</f>
        <v>17060</v>
      </c>
      <c r="AM37" s="111">
        <f>AH37-(AI37+AJ37+AL37)</f>
        <v>387537</v>
      </c>
      <c r="AN37" s="29">
        <f>AJ37+AM37</f>
        <v>387537</v>
      </c>
    </row>
    <row r="38" spans="1:41" x14ac:dyDescent="0.15">
      <c r="B38" s="86" t="s">
        <v>191</v>
      </c>
      <c r="C38" s="289" t="s">
        <v>217</v>
      </c>
      <c r="D38" s="289"/>
      <c r="E38" s="289"/>
      <c r="F38" s="289"/>
      <c r="G38" s="289"/>
      <c r="H38" s="289"/>
      <c r="I38" s="289"/>
      <c r="J38" s="289"/>
      <c r="K38" s="289"/>
      <c r="L38" s="289"/>
      <c r="M38" s="289"/>
      <c r="N38" s="289"/>
      <c r="O38" s="289"/>
      <c r="P38" s="289"/>
      <c r="Q38" s="289"/>
      <c r="R38" s="15" t="s">
        <v>141</v>
      </c>
      <c r="S38" s="92" t="s">
        <v>223</v>
      </c>
      <c r="T38" s="92"/>
      <c r="U38" s="92"/>
      <c r="V38" s="92"/>
      <c r="W38" s="92"/>
      <c r="X38" s="92"/>
      <c r="Y38" s="92"/>
      <c r="Z38" s="92"/>
      <c r="AA38" s="92"/>
      <c r="AG38" s="413" t="str">
        <f>C38</f>
        <v>治験実施計画書で必要とする資材（当院で購入が必要な資材）</v>
      </c>
      <c r="AH38" s="415">
        <f>IF(Y39="非該当",0,ROUNDDOWN(Y39*$AH$33,0))</f>
        <v>0</v>
      </c>
      <c r="AI38" s="415">
        <v>0</v>
      </c>
      <c r="AJ38" s="415">
        <v>0</v>
      </c>
      <c r="AK38" s="417">
        <v>0</v>
      </c>
      <c r="AL38" s="418">
        <v>0</v>
      </c>
      <c r="AM38" s="417">
        <f>AH38</f>
        <v>0</v>
      </c>
      <c r="AN38" s="419">
        <f t="shared" ref="AN38:AN89" si="0">AJ38+AM38</f>
        <v>0</v>
      </c>
    </row>
    <row r="39" spans="1:41" ht="14.25" x14ac:dyDescent="0.15">
      <c r="C39" s="287" t="s">
        <v>387</v>
      </c>
      <c r="D39" s="287"/>
      <c r="E39" s="287"/>
      <c r="F39" s="287"/>
      <c r="G39" s="287"/>
      <c r="H39" s="375" t="str">
        <f>IF(R38="■","",YC書式522_別紙1!O57)</f>
        <v/>
      </c>
      <c r="I39" s="375"/>
      <c r="J39" s="289" t="s">
        <v>187</v>
      </c>
      <c r="K39" s="289"/>
      <c r="L39" s="87" t="s">
        <v>28</v>
      </c>
      <c r="M39" s="402" t="str">
        <f>IF(R38="■","",6000)</f>
        <v/>
      </c>
      <c r="N39" s="402"/>
      <c r="O39" s="402"/>
      <c r="P39" s="86" t="s">
        <v>1</v>
      </c>
      <c r="W39" s="367" t="s">
        <v>105</v>
      </c>
      <c r="X39" s="367"/>
      <c r="Y39" s="288" t="str">
        <f>IF(R38="■","非該当",H39*M39)</f>
        <v>非該当</v>
      </c>
      <c r="Z39" s="288"/>
      <c r="AA39" s="288"/>
      <c r="AB39" s="288"/>
      <c r="AC39" s="16" t="s">
        <v>245</v>
      </c>
      <c r="AD39" s="18"/>
      <c r="AG39" s="413"/>
      <c r="AH39" s="415"/>
      <c r="AI39" s="415"/>
      <c r="AJ39" s="415"/>
      <c r="AK39" s="417"/>
      <c r="AL39" s="418"/>
      <c r="AM39" s="417"/>
      <c r="AN39" s="420">
        <f t="shared" si="0"/>
        <v>0</v>
      </c>
    </row>
    <row r="40" spans="1:41" ht="5.0999999999999996" customHeight="1" x14ac:dyDescent="0.15">
      <c r="Q40" s="114"/>
      <c r="R40" s="114"/>
      <c r="S40" s="114"/>
      <c r="T40" s="114"/>
      <c r="U40" s="114"/>
      <c r="V40" s="114"/>
      <c r="W40" s="114"/>
      <c r="X40" s="114"/>
      <c r="Y40" s="114"/>
      <c r="Z40" s="114"/>
      <c r="AG40" s="413"/>
      <c r="AH40" s="415"/>
      <c r="AI40" s="415"/>
      <c r="AJ40" s="415"/>
      <c r="AK40" s="417"/>
      <c r="AL40" s="418"/>
      <c r="AM40" s="417"/>
      <c r="AN40" s="420">
        <f t="shared" si="0"/>
        <v>0</v>
      </c>
    </row>
    <row r="41" spans="1:41" ht="14.25" x14ac:dyDescent="0.15">
      <c r="A41" s="287" t="s">
        <v>388</v>
      </c>
      <c r="B41" s="287"/>
      <c r="C41" s="287"/>
      <c r="D41" s="287"/>
      <c r="E41" s="287"/>
      <c r="F41" s="287"/>
      <c r="G41" s="287"/>
      <c r="H41" s="287"/>
      <c r="I41" s="287"/>
      <c r="J41" s="287"/>
      <c r="K41" s="287"/>
      <c r="L41" s="287"/>
      <c r="M41" s="287"/>
      <c r="N41" s="287"/>
      <c r="O41" s="287"/>
      <c r="P41" s="287"/>
      <c r="Q41" s="287"/>
      <c r="R41" s="287"/>
      <c r="S41" s="287"/>
      <c r="T41" s="287"/>
      <c r="U41" s="287"/>
      <c r="V41" s="287"/>
      <c r="W41" s="114"/>
      <c r="X41" s="114"/>
      <c r="Y41" s="287" t="s">
        <v>244</v>
      </c>
      <c r="Z41" s="287"/>
      <c r="AA41" s="287"/>
      <c r="AB41" s="287"/>
      <c r="AG41" s="414"/>
      <c r="AH41" s="416"/>
      <c r="AI41" s="416"/>
      <c r="AJ41" s="416"/>
      <c r="AK41" s="417"/>
      <c r="AL41" s="418"/>
      <c r="AM41" s="417"/>
      <c r="AN41" s="421">
        <f t="shared" si="0"/>
        <v>0</v>
      </c>
    </row>
    <row r="42" spans="1:41" ht="14.45" customHeight="1" x14ac:dyDescent="0.15">
      <c r="B42" s="86" t="s">
        <v>190</v>
      </c>
      <c r="C42" s="287" t="s">
        <v>389</v>
      </c>
      <c r="D42" s="287"/>
      <c r="E42" s="287"/>
      <c r="F42" s="287"/>
      <c r="G42" s="287"/>
      <c r="H42" s="287"/>
      <c r="I42" s="287"/>
      <c r="J42" s="287"/>
      <c r="K42" s="287"/>
      <c r="L42" s="287"/>
      <c r="M42" s="287"/>
      <c r="N42" s="287"/>
      <c r="O42" s="287"/>
      <c r="P42" s="287"/>
      <c r="Q42" s="287"/>
      <c r="R42" s="287"/>
      <c r="S42" s="287"/>
      <c r="T42" s="287"/>
      <c r="U42" s="287"/>
      <c r="V42" s="287"/>
      <c r="W42" s="367" t="s">
        <v>105</v>
      </c>
      <c r="X42" s="367"/>
      <c r="Y42" s="288">
        <f>Y20</f>
        <v>70000</v>
      </c>
      <c r="Z42" s="288"/>
      <c r="AA42" s="288"/>
      <c r="AB42" s="288"/>
      <c r="AC42" s="16" t="s">
        <v>1</v>
      </c>
      <c r="AD42" s="18"/>
      <c r="AG42" s="414" t="str">
        <f>C42</f>
        <v>治験運営費用（１ヶ月当り）</v>
      </c>
      <c r="AH42" s="416">
        <f>ROUNDDOWN(Y42*$AH$33,0)</f>
        <v>77000</v>
      </c>
      <c r="AI42" s="416">
        <v>0</v>
      </c>
      <c r="AJ42" s="434">
        <v>0</v>
      </c>
      <c r="AK42" s="437">
        <v>0</v>
      </c>
      <c r="AL42" s="434">
        <v>0</v>
      </c>
      <c r="AM42" s="437">
        <f>AH42</f>
        <v>77000</v>
      </c>
      <c r="AN42" s="416">
        <f>AJ42+AM42</f>
        <v>77000</v>
      </c>
    </row>
    <row r="43" spans="1:41" ht="15.75" x14ac:dyDescent="0.15">
      <c r="B43" s="86" t="s">
        <v>191</v>
      </c>
      <c r="C43" s="287" t="s">
        <v>433</v>
      </c>
      <c r="D43" s="287"/>
      <c r="E43" s="287"/>
      <c r="F43" s="287"/>
      <c r="G43" s="287"/>
      <c r="H43" s="287"/>
      <c r="I43" s="287"/>
      <c r="J43" s="287"/>
      <c r="K43" s="287"/>
      <c r="L43" s="287"/>
      <c r="M43" s="287"/>
      <c r="N43" s="287"/>
      <c r="O43" s="287"/>
      <c r="P43" s="287"/>
      <c r="Q43" s="287"/>
      <c r="R43" s="287"/>
      <c r="S43" s="287"/>
      <c r="T43" s="287"/>
      <c r="U43" s="287"/>
      <c r="V43" s="287"/>
      <c r="W43" s="367" t="s">
        <v>105</v>
      </c>
      <c r="X43" s="367"/>
      <c r="Y43" s="288">
        <f>Y21</f>
        <v>100000</v>
      </c>
      <c r="Z43" s="288"/>
      <c r="AA43" s="288"/>
      <c r="AB43" s="288"/>
      <c r="AC43" s="16" t="s">
        <v>1</v>
      </c>
      <c r="AD43" s="18"/>
      <c r="AG43" s="432"/>
      <c r="AH43" s="425"/>
      <c r="AI43" s="425"/>
      <c r="AJ43" s="435"/>
      <c r="AK43" s="438"/>
      <c r="AL43" s="435"/>
      <c r="AM43" s="438"/>
      <c r="AN43" s="425"/>
    </row>
    <row r="44" spans="1:41" ht="14.25" x14ac:dyDescent="0.15">
      <c r="C44" s="370" t="s">
        <v>390</v>
      </c>
      <c r="D44" s="370"/>
      <c r="E44" s="370"/>
      <c r="F44" s="370"/>
      <c r="G44" s="370"/>
      <c r="H44" s="370"/>
      <c r="I44" s="370"/>
      <c r="J44" s="370"/>
      <c r="K44" s="370"/>
      <c r="L44" s="370"/>
      <c r="M44" s="370"/>
      <c r="N44" s="370"/>
      <c r="O44" s="370"/>
      <c r="P44" s="370"/>
      <c r="Q44" s="370"/>
      <c r="R44" s="370"/>
      <c r="S44" s="370"/>
      <c r="T44" s="370"/>
      <c r="U44" s="370"/>
      <c r="V44" s="370"/>
      <c r="W44" s="370"/>
      <c r="X44" s="370"/>
      <c r="Y44" s="17"/>
      <c r="Z44" s="17"/>
      <c r="AA44" s="17"/>
      <c r="AB44" s="17"/>
      <c r="AC44" s="18"/>
      <c r="AD44" s="18"/>
      <c r="AG44" s="433"/>
      <c r="AH44" s="426"/>
      <c r="AI44" s="426"/>
      <c r="AJ44" s="436"/>
      <c r="AK44" s="439"/>
      <c r="AL44" s="436"/>
      <c r="AM44" s="439"/>
      <c r="AN44" s="426"/>
    </row>
    <row r="45" spans="1:41" ht="14.25" x14ac:dyDescent="0.15">
      <c r="B45" s="86" t="s">
        <v>345</v>
      </c>
      <c r="C45" s="287" t="s">
        <v>391</v>
      </c>
      <c r="D45" s="287"/>
      <c r="E45" s="287"/>
      <c r="F45" s="287"/>
      <c r="G45" s="287"/>
      <c r="H45" s="287"/>
      <c r="I45" s="287"/>
      <c r="J45" s="287"/>
      <c r="K45" s="287"/>
      <c r="L45" s="287"/>
      <c r="M45" s="287"/>
      <c r="N45" s="287"/>
      <c r="O45" s="287"/>
      <c r="P45" s="287"/>
      <c r="Q45" s="287"/>
      <c r="R45" s="287"/>
      <c r="S45" s="287"/>
      <c r="T45" s="287"/>
      <c r="U45" s="287"/>
      <c r="V45" s="287"/>
      <c r="W45" s="367" t="s">
        <v>105</v>
      </c>
      <c r="X45" s="367"/>
      <c r="Y45" s="288">
        <f>Y24</f>
        <v>1080000</v>
      </c>
      <c r="Z45" s="288"/>
      <c r="AA45" s="288"/>
      <c r="AB45" s="288"/>
      <c r="AC45" s="16" t="s">
        <v>1</v>
      </c>
      <c r="AD45" s="18"/>
      <c r="AG45" s="432" t="str">
        <f>C43</f>
        <v>継続審査費用（１年当り）※</v>
      </c>
      <c r="AH45" s="416">
        <f>ROUNDDOWN(Y43*$AH$33,0)</f>
        <v>110000</v>
      </c>
      <c r="AI45" s="416">
        <v>0</v>
      </c>
      <c r="AJ45" s="434">
        <v>0</v>
      </c>
      <c r="AK45" s="437">
        <v>0</v>
      </c>
      <c r="AL45" s="434">
        <v>0</v>
      </c>
      <c r="AM45" s="437">
        <f>AH45</f>
        <v>110000</v>
      </c>
      <c r="AN45" s="416">
        <f>AJ45+AM45</f>
        <v>110000</v>
      </c>
    </row>
    <row r="46" spans="1:41" ht="5.0999999999999996" customHeight="1" x14ac:dyDescent="0.15">
      <c r="Q46" s="114"/>
      <c r="R46" s="114"/>
      <c r="S46" s="114"/>
      <c r="T46" s="114"/>
      <c r="U46" s="114"/>
      <c r="V46" s="114"/>
      <c r="W46" s="114"/>
      <c r="X46" s="114"/>
      <c r="Y46" s="114"/>
      <c r="Z46" s="114"/>
      <c r="AG46" s="432"/>
      <c r="AH46" s="425"/>
      <c r="AI46" s="425"/>
      <c r="AJ46" s="435"/>
      <c r="AK46" s="438"/>
      <c r="AL46" s="435"/>
      <c r="AM46" s="438"/>
      <c r="AN46" s="425"/>
    </row>
    <row r="47" spans="1:41" ht="14.25" x14ac:dyDescent="0.15">
      <c r="A47" s="287" t="s">
        <v>183</v>
      </c>
      <c r="B47" s="287"/>
      <c r="C47" s="287"/>
      <c r="D47" s="287"/>
      <c r="E47" s="287"/>
      <c r="F47" s="287"/>
      <c r="G47" s="287"/>
      <c r="H47" s="287"/>
      <c r="I47" s="287"/>
      <c r="J47" s="287"/>
      <c r="K47" s="287"/>
      <c r="L47" s="287"/>
      <c r="M47" s="287"/>
      <c r="N47" s="287"/>
      <c r="O47" s="287"/>
      <c r="P47" s="287"/>
      <c r="Q47" s="287"/>
      <c r="R47" s="287"/>
      <c r="S47" s="287"/>
      <c r="T47" s="287"/>
      <c r="U47" s="287"/>
      <c r="V47" s="287"/>
      <c r="W47" s="114"/>
      <c r="X47" s="114"/>
      <c r="Y47" s="287" t="s">
        <v>244</v>
      </c>
      <c r="Z47" s="287"/>
      <c r="AA47" s="287"/>
      <c r="AB47" s="287"/>
      <c r="AG47" s="433"/>
      <c r="AH47" s="426"/>
      <c r="AI47" s="426"/>
      <c r="AJ47" s="436"/>
      <c r="AK47" s="439"/>
      <c r="AL47" s="436"/>
      <c r="AM47" s="439"/>
      <c r="AN47" s="426"/>
    </row>
    <row r="48" spans="1:41" ht="14.25" x14ac:dyDescent="0.15">
      <c r="B48" s="86" t="s">
        <v>190</v>
      </c>
      <c r="C48" s="287" t="s">
        <v>392</v>
      </c>
      <c r="D48" s="287"/>
      <c r="E48" s="287"/>
      <c r="F48" s="287"/>
      <c r="G48" s="287"/>
      <c r="H48" s="287"/>
      <c r="I48" s="287"/>
      <c r="J48" s="287"/>
      <c r="K48" s="287"/>
      <c r="L48" s="287"/>
      <c r="M48" s="287"/>
      <c r="N48" s="287"/>
      <c r="O48" s="287"/>
      <c r="P48" s="287"/>
      <c r="Q48" s="287"/>
      <c r="R48" s="287"/>
      <c r="S48" s="287"/>
      <c r="T48" s="287"/>
      <c r="U48" s="287"/>
      <c r="V48" s="287"/>
      <c r="W48" s="367" t="s">
        <v>105</v>
      </c>
      <c r="X48" s="367"/>
      <c r="Y48" s="288">
        <f>Y34</f>
        <v>240240</v>
      </c>
      <c r="Z48" s="288"/>
      <c r="AA48" s="288"/>
      <c r="AB48" s="288"/>
      <c r="AC48" s="16" t="s">
        <v>1</v>
      </c>
      <c r="AD48" s="18"/>
      <c r="AG48" s="409" t="str">
        <f>C48</f>
        <v>（ウ）症例単位合計（症例実施にかかる経費／１症例当り）</v>
      </c>
      <c r="AH48" s="422">
        <f>ROUNDDOWN(Y48*$AH$33,0)</f>
        <v>264264</v>
      </c>
      <c r="AI48" s="416">
        <f>ROUNDDOWN(N27*Q27*$AH$33,0)</f>
        <v>85800</v>
      </c>
      <c r="AJ48" s="416">
        <f>ROUNDDOWN(N28*AJ33*$AH$33,0)</f>
        <v>99000</v>
      </c>
      <c r="AK48" s="427">
        <f>INT(AH48*0.01)</f>
        <v>2642</v>
      </c>
      <c r="AL48" s="428">
        <f>AK48*4</f>
        <v>10568</v>
      </c>
      <c r="AM48" s="417">
        <f>AH48-(AI48+AJ48+AL48)</f>
        <v>68896</v>
      </c>
      <c r="AN48" s="429">
        <f>AJ48+AM48</f>
        <v>167896</v>
      </c>
    </row>
    <row r="49" spans="2:41" ht="5.0999999999999996" customHeight="1" x14ac:dyDescent="0.15">
      <c r="Q49" s="114"/>
      <c r="R49" s="114"/>
      <c r="S49" s="114"/>
      <c r="T49" s="114"/>
      <c r="U49" s="114"/>
      <c r="V49" s="114"/>
      <c r="W49" s="114"/>
      <c r="X49" s="114"/>
      <c r="Y49" s="114"/>
      <c r="Z49" s="114"/>
      <c r="AG49" s="410"/>
      <c r="AH49" s="423"/>
      <c r="AI49" s="425"/>
      <c r="AJ49" s="425"/>
      <c r="AK49" s="427"/>
      <c r="AL49" s="428"/>
      <c r="AM49" s="417">
        <f t="shared" ref="AM49:AM52" si="1">AH49-(AI49+AJ49+AL49)</f>
        <v>0</v>
      </c>
      <c r="AN49" s="430">
        <f t="shared" si="0"/>
        <v>0</v>
      </c>
    </row>
    <row r="50" spans="2:41" x14ac:dyDescent="0.15">
      <c r="B50" s="86" t="s">
        <v>191</v>
      </c>
      <c r="C50" s="374" t="s">
        <v>393</v>
      </c>
      <c r="D50" s="374"/>
      <c r="E50" s="374"/>
      <c r="F50" s="374"/>
      <c r="G50" s="374"/>
      <c r="H50" s="374"/>
      <c r="I50" s="374"/>
      <c r="J50" s="374"/>
      <c r="K50" s="374"/>
      <c r="L50" s="374"/>
      <c r="M50" s="374"/>
      <c r="N50" s="374"/>
      <c r="O50" s="374"/>
      <c r="P50" s="374"/>
      <c r="Q50" s="374"/>
      <c r="R50" s="374"/>
      <c r="S50" s="374"/>
      <c r="T50" s="374"/>
      <c r="U50" s="374"/>
      <c r="V50" s="374"/>
      <c r="W50" s="374"/>
      <c r="X50" s="374"/>
      <c r="Y50" s="289" t="s">
        <v>247</v>
      </c>
      <c r="Z50" s="289"/>
      <c r="AA50" s="289"/>
      <c r="AB50" s="289"/>
      <c r="AG50" s="410"/>
      <c r="AH50" s="423"/>
      <c r="AI50" s="425"/>
      <c r="AJ50" s="425"/>
      <c r="AK50" s="427"/>
      <c r="AL50" s="428"/>
      <c r="AM50" s="417">
        <f t="shared" si="1"/>
        <v>0</v>
      </c>
      <c r="AN50" s="430">
        <f t="shared" si="0"/>
        <v>0</v>
      </c>
    </row>
    <row r="51" spans="2:41" ht="14.25" x14ac:dyDescent="0.15">
      <c r="C51" s="287" t="s">
        <v>103</v>
      </c>
      <c r="D51" s="287"/>
      <c r="E51" s="287"/>
      <c r="F51" s="287"/>
      <c r="G51" s="287"/>
      <c r="H51" s="287"/>
      <c r="I51" s="287"/>
      <c r="J51" s="287"/>
      <c r="K51" s="287"/>
      <c r="L51" s="287"/>
      <c r="M51" s="287"/>
      <c r="N51" s="287"/>
      <c r="O51" s="287"/>
      <c r="P51" s="287"/>
      <c r="Q51" s="287"/>
      <c r="R51" s="287"/>
      <c r="S51" s="287"/>
      <c r="T51" s="287"/>
      <c r="U51" s="287"/>
      <c r="V51" s="287"/>
      <c r="W51" s="367" t="s">
        <v>105</v>
      </c>
      <c r="X51" s="367"/>
      <c r="Y51" s="373">
        <v>10000</v>
      </c>
      <c r="Z51" s="373"/>
      <c r="AA51" s="373"/>
      <c r="AB51" s="373"/>
      <c r="AC51" s="150" t="s">
        <v>1</v>
      </c>
      <c r="AE51" s="151"/>
      <c r="AF51" s="151"/>
      <c r="AG51" s="410"/>
      <c r="AH51" s="423"/>
      <c r="AI51" s="425"/>
      <c r="AJ51" s="425"/>
      <c r="AK51" s="427"/>
      <c r="AL51" s="428"/>
      <c r="AM51" s="417">
        <f t="shared" si="1"/>
        <v>0</v>
      </c>
      <c r="AN51" s="430">
        <f t="shared" si="0"/>
        <v>0</v>
      </c>
      <c r="AO51" s="151"/>
    </row>
    <row r="52" spans="2:41" ht="5.0999999999999996" customHeight="1" x14ac:dyDescent="0.15">
      <c r="Q52" s="114"/>
      <c r="R52" s="114"/>
      <c r="S52" s="114"/>
      <c r="T52" s="114"/>
      <c r="U52" s="114"/>
      <c r="V52" s="114"/>
      <c r="W52" s="114"/>
      <c r="X52" s="114"/>
      <c r="Y52" s="114"/>
      <c r="Z52" s="114"/>
      <c r="AG52" s="411"/>
      <c r="AH52" s="424"/>
      <c r="AI52" s="426"/>
      <c r="AJ52" s="426"/>
      <c r="AK52" s="427"/>
      <c r="AL52" s="428"/>
      <c r="AM52" s="417">
        <f t="shared" si="1"/>
        <v>0</v>
      </c>
      <c r="AN52" s="431">
        <f t="shared" si="0"/>
        <v>0</v>
      </c>
    </row>
    <row r="53" spans="2:41" x14ac:dyDescent="0.15">
      <c r="B53" s="86" t="s">
        <v>189</v>
      </c>
      <c r="C53" s="287" t="s">
        <v>346</v>
      </c>
      <c r="D53" s="287"/>
      <c r="E53" s="287"/>
      <c r="F53" s="287"/>
      <c r="G53" s="287"/>
      <c r="H53" s="287"/>
      <c r="I53" s="287"/>
      <c r="J53" s="287"/>
      <c r="K53" s="287"/>
      <c r="L53" s="287"/>
      <c r="M53" s="287"/>
      <c r="N53" s="287"/>
      <c r="O53" s="287"/>
      <c r="P53" s="287"/>
      <c r="Q53" s="287"/>
      <c r="R53" s="287"/>
      <c r="S53" s="287"/>
      <c r="T53" s="287"/>
      <c r="U53" s="287"/>
      <c r="V53" s="287"/>
      <c r="Y53" s="287" t="s">
        <v>244</v>
      </c>
      <c r="Z53" s="287"/>
      <c r="AA53" s="287"/>
      <c r="AB53" s="287"/>
      <c r="AG53" s="413" t="str">
        <f>C53</f>
        <v>標本作製費用（検体などのスライド等作製費用／1症例当り）</v>
      </c>
      <c r="AH53" s="441">
        <f>IF(H54="",0,ROUNDDOWN(Y56*$AH$33,0))</f>
        <v>4290</v>
      </c>
      <c r="AI53" s="441">
        <f>IF(H54="",0,ROUNDDOWN(Y54*$AH$33,0))</f>
        <v>3300</v>
      </c>
      <c r="AJ53" s="441">
        <v>0</v>
      </c>
      <c r="AK53" s="427">
        <f>INT(AH53*0.01)</f>
        <v>42</v>
      </c>
      <c r="AL53" s="428">
        <f>AK53*4</f>
        <v>168</v>
      </c>
      <c r="AM53" s="417">
        <f>AH53-(AI53+AJ53+AL53)</f>
        <v>822</v>
      </c>
      <c r="AN53" s="440">
        <f>AJ53+AM53</f>
        <v>822</v>
      </c>
    </row>
    <row r="54" spans="2:41" ht="14.25" x14ac:dyDescent="0.15">
      <c r="C54" s="287" t="s">
        <v>394</v>
      </c>
      <c r="D54" s="287"/>
      <c r="E54" s="287"/>
      <c r="F54" s="287"/>
      <c r="H54" s="376">
        <v>1</v>
      </c>
      <c r="I54" s="376"/>
      <c r="J54" s="376"/>
      <c r="K54" s="92" t="s">
        <v>395</v>
      </c>
      <c r="L54" s="87" t="s">
        <v>28</v>
      </c>
      <c r="M54" s="395">
        <v>3000</v>
      </c>
      <c r="N54" s="395"/>
      <c r="O54" s="395"/>
      <c r="P54" s="287" t="s">
        <v>186</v>
      </c>
      <c r="Q54" s="287"/>
      <c r="R54" s="287"/>
      <c r="S54" s="287"/>
      <c r="T54" s="287"/>
      <c r="U54" s="287"/>
      <c r="V54" s="287"/>
      <c r="W54" s="367" t="s">
        <v>105</v>
      </c>
      <c r="X54" s="367"/>
      <c r="Y54" s="371">
        <f>IF(H54="",0,H54*M54)</f>
        <v>3000</v>
      </c>
      <c r="Z54" s="371"/>
      <c r="AA54" s="371"/>
      <c r="AB54" s="371"/>
      <c r="AC54" s="16" t="s">
        <v>1</v>
      </c>
      <c r="AD54" s="18"/>
      <c r="AG54" s="413"/>
      <c r="AH54" s="441"/>
      <c r="AI54" s="441"/>
      <c r="AJ54" s="441"/>
      <c r="AK54" s="427"/>
      <c r="AL54" s="428"/>
      <c r="AM54" s="417">
        <f t="shared" ref="AM54:AM57" si="2">AH54-(AI54+AJ54+AL54)</f>
        <v>0</v>
      </c>
      <c r="AN54" s="440">
        <f t="shared" ref="AN54:AN57" si="3">AJ54+AM54</f>
        <v>0</v>
      </c>
    </row>
    <row r="55" spans="2:41" ht="14.25" x14ac:dyDescent="0.15">
      <c r="C55" s="287" t="s">
        <v>188</v>
      </c>
      <c r="D55" s="287"/>
      <c r="E55" s="287"/>
      <c r="F55" s="287"/>
      <c r="G55" s="287"/>
      <c r="H55" s="369">
        <f>Y54</f>
        <v>3000</v>
      </c>
      <c r="I55" s="369"/>
      <c r="J55" s="369"/>
      <c r="K55" s="86" t="s">
        <v>1</v>
      </c>
      <c r="L55" s="87" t="s">
        <v>28</v>
      </c>
      <c r="M55" s="368">
        <v>0.3</v>
      </c>
      <c r="N55" s="368"/>
      <c r="O55" s="368"/>
      <c r="P55" s="367"/>
      <c r="Q55" s="367"/>
      <c r="R55" s="367"/>
      <c r="S55" s="367"/>
      <c r="T55" s="367"/>
      <c r="U55" s="367"/>
      <c r="V55" s="367"/>
      <c r="W55" s="367" t="s">
        <v>105</v>
      </c>
      <c r="X55" s="367"/>
      <c r="Y55" s="350">
        <f>H55*M55</f>
        <v>900</v>
      </c>
      <c r="Z55" s="350"/>
      <c r="AA55" s="350"/>
      <c r="AB55" s="350"/>
      <c r="AC55" s="16" t="s">
        <v>1</v>
      </c>
      <c r="AD55" s="18"/>
      <c r="AG55" s="413"/>
      <c r="AH55" s="441"/>
      <c r="AI55" s="441"/>
      <c r="AJ55" s="441"/>
      <c r="AK55" s="427"/>
      <c r="AL55" s="428"/>
      <c r="AM55" s="417">
        <f t="shared" si="2"/>
        <v>0</v>
      </c>
      <c r="AN55" s="440">
        <f t="shared" si="3"/>
        <v>0</v>
      </c>
    </row>
    <row r="56" spans="2:41" ht="14.25" x14ac:dyDescent="0.15">
      <c r="H56" s="118"/>
      <c r="I56" s="118"/>
      <c r="J56" s="118"/>
      <c r="M56" s="115"/>
      <c r="N56" s="115"/>
      <c r="O56" s="115"/>
      <c r="W56" s="367" t="s">
        <v>396</v>
      </c>
      <c r="X56" s="367"/>
      <c r="Y56" s="366">
        <f>SUM(Y54:AB55)</f>
        <v>3900</v>
      </c>
      <c r="Z56" s="366"/>
      <c r="AA56" s="366"/>
      <c r="AB56" s="366"/>
      <c r="AC56" s="16" t="s">
        <v>1</v>
      </c>
      <c r="AD56" s="18"/>
      <c r="AG56" s="413"/>
      <c r="AH56" s="441"/>
      <c r="AI56" s="441"/>
      <c r="AJ56" s="441"/>
      <c r="AK56" s="427"/>
      <c r="AL56" s="428"/>
      <c r="AM56" s="417">
        <f t="shared" si="2"/>
        <v>0</v>
      </c>
      <c r="AN56" s="440">
        <f t="shared" si="3"/>
        <v>0</v>
      </c>
    </row>
    <row r="57" spans="2:41" ht="5.0999999999999996" customHeight="1" x14ac:dyDescent="0.15">
      <c r="M57" s="115"/>
      <c r="N57" s="115"/>
      <c r="Q57" s="116"/>
      <c r="R57" s="116"/>
      <c r="S57" s="114"/>
      <c r="T57" s="114"/>
      <c r="U57" s="114"/>
      <c r="V57" s="114"/>
      <c r="W57" s="114"/>
      <c r="X57" s="114"/>
      <c r="Y57" s="114"/>
      <c r="Z57" s="114"/>
      <c r="AG57" s="413"/>
      <c r="AH57" s="441"/>
      <c r="AI57" s="441"/>
      <c r="AJ57" s="441"/>
      <c r="AK57" s="427"/>
      <c r="AL57" s="428"/>
      <c r="AM57" s="417">
        <f t="shared" si="2"/>
        <v>0</v>
      </c>
      <c r="AN57" s="440">
        <f t="shared" si="3"/>
        <v>0</v>
      </c>
    </row>
    <row r="58" spans="2:41" x14ac:dyDescent="0.15">
      <c r="B58" s="86" t="s">
        <v>192</v>
      </c>
      <c r="C58" s="287" t="s">
        <v>347</v>
      </c>
      <c r="D58" s="287"/>
      <c r="E58" s="287"/>
      <c r="F58" s="287"/>
      <c r="G58" s="287"/>
      <c r="H58" s="287"/>
      <c r="I58" s="287"/>
      <c r="J58" s="287"/>
      <c r="K58" s="287"/>
      <c r="L58" s="287"/>
      <c r="M58" s="287"/>
      <c r="N58" s="287"/>
      <c r="O58" s="287"/>
      <c r="P58" s="287"/>
      <c r="Q58" s="287"/>
      <c r="R58" s="287"/>
      <c r="S58" s="287"/>
      <c r="T58" s="287"/>
      <c r="U58" s="287"/>
      <c r="V58" s="287"/>
      <c r="W58" s="117"/>
      <c r="X58" s="117"/>
      <c r="Y58" s="287" t="s">
        <v>244</v>
      </c>
      <c r="Z58" s="287"/>
      <c r="AA58" s="287"/>
      <c r="AB58" s="287"/>
      <c r="AG58" s="413" t="str">
        <f>C58</f>
        <v>追跡調査（1調査当り）</v>
      </c>
      <c r="AH58" s="441">
        <f>IF(Y59="非該当",0,ROUNDDOWN(Y61*$AH$33,0))</f>
        <v>18590</v>
      </c>
      <c r="AI58" s="441">
        <f>IF(Y59="非該当",0,ROUNDDOWN(Y59*$AH$33,0))</f>
        <v>14300</v>
      </c>
      <c r="AJ58" s="441">
        <v>0</v>
      </c>
      <c r="AK58" s="427">
        <f>INT(AH58*0.01)</f>
        <v>185</v>
      </c>
      <c r="AL58" s="428">
        <f>AK58*4</f>
        <v>740</v>
      </c>
      <c r="AM58" s="417">
        <f t="shared" ref="AM58:AM72" si="4">AH58-(AI58+AJ58+AL58)</f>
        <v>3550</v>
      </c>
      <c r="AN58" s="440">
        <f t="shared" si="0"/>
        <v>3550</v>
      </c>
    </row>
    <row r="59" spans="2:41" ht="14.25" x14ac:dyDescent="0.15">
      <c r="C59" s="287" t="s">
        <v>135</v>
      </c>
      <c r="D59" s="287"/>
      <c r="E59" s="287"/>
      <c r="F59" s="287"/>
      <c r="G59" s="287"/>
      <c r="H59" s="87">
        <v>2</v>
      </c>
      <c r="I59" s="367" t="s">
        <v>187</v>
      </c>
      <c r="J59" s="367"/>
      <c r="K59" s="367"/>
      <c r="L59" s="87" t="s">
        <v>28</v>
      </c>
      <c r="M59" s="369">
        <f>IF(S2="■",6500*0.7,IF(S2="□",6500,""))</f>
        <v>6500</v>
      </c>
      <c r="N59" s="369"/>
      <c r="O59" s="369"/>
      <c r="P59" s="287" t="s">
        <v>186</v>
      </c>
      <c r="Q59" s="287"/>
      <c r="R59" s="287"/>
      <c r="S59" s="287"/>
      <c r="T59" s="287"/>
      <c r="U59" s="287"/>
      <c r="V59" s="287"/>
      <c r="W59" s="367" t="s">
        <v>105</v>
      </c>
      <c r="X59" s="367"/>
      <c r="Y59" s="288">
        <f>H59*M59</f>
        <v>13000</v>
      </c>
      <c r="Z59" s="288"/>
      <c r="AA59" s="288"/>
      <c r="AB59" s="288"/>
      <c r="AC59" s="16" t="s">
        <v>1</v>
      </c>
      <c r="AD59" s="18"/>
      <c r="AG59" s="413"/>
      <c r="AH59" s="441"/>
      <c r="AI59" s="441"/>
      <c r="AJ59" s="441"/>
      <c r="AK59" s="427"/>
      <c r="AL59" s="428"/>
      <c r="AM59" s="417">
        <f t="shared" si="4"/>
        <v>0</v>
      </c>
      <c r="AN59" s="440">
        <f t="shared" si="0"/>
        <v>0</v>
      </c>
    </row>
    <row r="60" spans="2:41" ht="14.25" x14ac:dyDescent="0.15">
      <c r="C60" s="287" t="s">
        <v>188</v>
      </c>
      <c r="D60" s="287"/>
      <c r="E60" s="287"/>
      <c r="F60" s="287"/>
      <c r="G60" s="287"/>
      <c r="H60" s="369">
        <f>Y59</f>
        <v>13000</v>
      </c>
      <c r="I60" s="369"/>
      <c r="J60" s="369"/>
      <c r="K60" s="86" t="s">
        <v>1</v>
      </c>
      <c r="L60" s="87" t="s">
        <v>28</v>
      </c>
      <c r="M60" s="368">
        <v>0.3</v>
      </c>
      <c r="N60" s="368"/>
      <c r="O60" s="368"/>
      <c r="P60" s="367"/>
      <c r="Q60" s="367"/>
      <c r="R60" s="367"/>
      <c r="S60" s="367"/>
      <c r="T60" s="367"/>
      <c r="U60" s="367"/>
      <c r="V60" s="367"/>
      <c r="W60" s="367" t="s">
        <v>105</v>
      </c>
      <c r="X60" s="367"/>
      <c r="Y60" s="350">
        <f>H60*M60</f>
        <v>3900</v>
      </c>
      <c r="Z60" s="350"/>
      <c r="AA60" s="350"/>
      <c r="AB60" s="350"/>
      <c r="AC60" s="16" t="s">
        <v>1</v>
      </c>
      <c r="AD60" s="18"/>
      <c r="AG60" s="413"/>
      <c r="AH60" s="441"/>
      <c r="AI60" s="441"/>
      <c r="AJ60" s="441"/>
      <c r="AK60" s="427"/>
      <c r="AL60" s="428"/>
      <c r="AM60" s="417">
        <f t="shared" si="4"/>
        <v>0</v>
      </c>
      <c r="AN60" s="440">
        <f t="shared" si="0"/>
        <v>0</v>
      </c>
    </row>
    <row r="61" spans="2:41" ht="14.25" x14ac:dyDescent="0.15">
      <c r="H61" s="118"/>
      <c r="I61" s="118"/>
      <c r="J61" s="118"/>
      <c r="M61" s="115"/>
      <c r="N61" s="115"/>
      <c r="O61" s="115"/>
      <c r="W61" s="367" t="s">
        <v>396</v>
      </c>
      <c r="X61" s="367"/>
      <c r="Y61" s="366">
        <f>SUM(Y59:AB60)</f>
        <v>16900</v>
      </c>
      <c r="Z61" s="366"/>
      <c r="AA61" s="366"/>
      <c r="AB61" s="366"/>
      <c r="AC61" s="16" t="s">
        <v>1</v>
      </c>
      <c r="AD61" s="18"/>
      <c r="AG61" s="413"/>
      <c r="AH61" s="441"/>
      <c r="AI61" s="441"/>
      <c r="AJ61" s="441"/>
      <c r="AK61" s="427"/>
      <c r="AL61" s="428"/>
      <c r="AM61" s="417">
        <f t="shared" si="4"/>
        <v>0</v>
      </c>
      <c r="AN61" s="440">
        <f t="shared" si="0"/>
        <v>0</v>
      </c>
    </row>
    <row r="62" spans="2:41" ht="5.0999999999999996" customHeight="1" x14ac:dyDescent="0.15">
      <c r="H62" s="118"/>
      <c r="I62" s="118"/>
      <c r="J62" s="118"/>
      <c r="M62" s="115"/>
      <c r="N62" s="115"/>
      <c r="O62" s="115"/>
      <c r="Q62" s="87"/>
      <c r="R62" s="87"/>
      <c r="S62" s="119"/>
      <c r="T62" s="119"/>
      <c r="U62" s="119"/>
      <c r="V62" s="119"/>
      <c r="W62" s="119"/>
      <c r="Y62" s="119"/>
      <c r="AC62" s="119"/>
      <c r="AD62" s="119"/>
      <c r="AG62" s="413"/>
      <c r="AH62" s="441"/>
      <c r="AI62" s="441"/>
      <c r="AJ62" s="441"/>
      <c r="AK62" s="427"/>
      <c r="AL62" s="428"/>
      <c r="AM62" s="417">
        <f t="shared" si="4"/>
        <v>0</v>
      </c>
      <c r="AN62" s="440">
        <f t="shared" si="0"/>
        <v>0</v>
      </c>
    </row>
    <row r="63" spans="2:41" ht="14.25" x14ac:dyDescent="0.15">
      <c r="B63" s="86" t="s">
        <v>193</v>
      </c>
      <c r="C63" s="287" t="s">
        <v>397</v>
      </c>
      <c r="D63" s="287"/>
      <c r="E63" s="287"/>
      <c r="F63" s="287"/>
      <c r="G63" s="287"/>
      <c r="H63" s="287"/>
      <c r="I63" s="287"/>
      <c r="J63" s="287"/>
      <c r="K63" s="287"/>
      <c r="L63" s="287"/>
      <c r="M63" s="287"/>
      <c r="N63" s="287"/>
      <c r="O63" s="287"/>
      <c r="P63" s="287"/>
      <c r="Q63" s="287"/>
      <c r="R63" s="287"/>
      <c r="S63" s="287"/>
      <c r="T63" s="287"/>
      <c r="U63" s="287"/>
      <c r="V63" s="287"/>
      <c r="W63" s="117"/>
      <c r="X63" s="117"/>
      <c r="Y63" s="287" t="s">
        <v>244</v>
      </c>
      <c r="Z63" s="287"/>
      <c r="AA63" s="287"/>
      <c r="AB63" s="287"/>
      <c r="AC63" s="119"/>
      <c r="AD63" s="119"/>
      <c r="AG63" s="413" t="str">
        <f>C63</f>
        <v>生存調査（1調査当り）</v>
      </c>
      <c r="AH63" s="441">
        <f>IF(Y64="非該当",0,ROUNDDOWN(Y66*$AH$33,0))</f>
        <v>18590</v>
      </c>
      <c r="AI63" s="441">
        <f>IF(Y64="非該当",0,ROUNDDOWN(Y64*$AH$33,0))</f>
        <v>14300</v>
      </c>
      <c r="AJ63" s="441">
        <v>0</v>
      </c>
      <c r="AK63" s="427">
        <f>INT(AH63*0.01)</f>
        <v>185</v>
      </c>
      <c r="AL63" s="428">
        <f>AK63*4</f>
        <v>740</v>
      </c>
      <c r="AM63" s="417">
        <f t="shared" si="4"/>
        <v>3550</v>
      </c>
      <c r="AN63" s="440">
        <f t="shared" si="0"/>
        <v>3550</v>
      </c>
    </row>
    <row r="64" spans="2:41" ht="14.25" x14ac:dyDescent="0.15">
      <c r="C64" s="287" t="s">
        <v>135</v>
      </c>
      <c r="D64" s="287"/>
      <c r="E64" s="287"/>
      <c r="F64" s="287"/>
      <c r="G64" s="287"/>
      <c r="H64" s="87">
        <v>2</v>
      </c>
      <c r="I64" s="367" t="s">
        <v>187</v>
      </c>
      <c r="J64" s="367"/>
      <c r="K64" s="367"/>
      <c r="L64" s="87" t="s">
        <v>28</v>
      </c>
      <c r="M64" s="369">
        <f>M59</f>
        <v>6500</v>
      </c>
      <c r="N64" s="369"/>
      <c r="O64" s="369"/>
      <c r="P64" s="287" t="s">
        <v>186</v>
      </c>
      <c r="Q64" s="287"/>
      <c r="R64" s="287"/>
      <c r="S64" s="287"/>
      <c r="T64" s="287"/>
      <c r="U64" s="287"/>
      <c r="V64" s="287"/>
      <c r="W64" s="367" t="s">
        <v>105</v>
      </c>
      <c r="X64" s="367"/>
      <c r="Y64" s="288">
        <f>H64*M64</f>
        <v>13000</v>
      </c>
      <c r="Z64" s="288"/>
      <c r="AA64" s="288"/>
      <c r="AB64" s="288"/>
      <c r="AC64" s="16" t="s">
        <v>1</v>
      </c>
      <c r="AD64" s="18"/>
      <c r="AG64" s="413"/>
      <c r="AH64" s="441"/>
      <c r="AI64" s="441"/>
      <c r="AJ64" s="441"/>
      <c r="AK64" s="427"/>
      <c r="AL64" s="428"/>
      <c r="AM64" s="417">
        <f t="shared" si="4"/>
        <v>0</v>
      </c>
      <c r="AN64" s="440">
        <f t="shared" si="0"/>
        <v>0</v>
      </c>
    </row>
    <row r="65" spans="2:40" ht="14.25" x14ac:dyDescent="0.15">
      <c r="C65" s="287" t="s">
        <v>188</v>
      </c>
      <c r="D65" s="287"/>
      <c r="E65" s="287"/>
      <c r="F65" s="287"/>
      <c r="G65" s="287"/>
      <c r="H65" s="369">
        <f>Y64</f>
        <v>13000</v>
      </c>
      <c r="I65" s="369"/>
      <c r="J65" s="369"/>
      <c r="K65" s="86" t="s">
        <v>1</v>
      </c>
      <c r="L65" s="87" t="s">
        <v>28</v>
      </c>
      <c r="M65" s="368">
        <v>0.3</v>
      </c>
      <c r="N65" s="368"/>
      <c r="O65" s="368"/>
      <c r="P65" s="287"/>
      <c r="Q65" s="287"/>
      <c r="R65" s="287"/>
      <c r="S65" s="287"/>
      <c r="T65" s="287"/>
      <c r="U65" s="287"/>
      <c r="V65" s="287"/>
      <c r="W65" s="367" t="s">
        <v>105</v>
      </c>
      <c r="X65" s="367"/>
      <c r="Y65" s="350">
        <f>H65*M65</f>
        <v>3900</v>
      </c>
      <c r="Z65" s="350"/>
      <c r="AA65" s="350"/>
      <c r="AB65" s="350"/>
      <c r="AC65" s="16" t="s">
        <v>1</v>
      </c>
      <c r="AD65" s="18"/>
      <c r="AG65" s="413"/>
      <c r="AH65" s="441"/>
      <c r="AI65" s="441"/>
      <c r="AJ65" s="441"/>
      <c r="AK65" s="427"/>
      <c r="AL65" s="428"/>
      <c r="AM65" s="417">
        <f t="shared" si="4"/>
        <v>0</v>
      </c>
      <c r="AN65" s="440">
        <f t="shared" si="0"/>
        <v>0</v>
      </c>
    </row>
    <row r="66" spans="2:40" ht="14.25" x14ac:dyDescent="0.15">
      <c r="H66" s="118"/>
      <c r="I66" s="118"/>
      <c r="J66" s="118"/>
      <c r="M66" s="115"/>
      <c r="N66" s="115"/>
      <c r="O66" s="115"/>
      <c r="W66" s="367" t="s">
        <v>396</v>
      </c>
      <c r="X66" s="367"/>
      <c r="Y66" s="366">
        <f>SUM(Y64:AB65)</f>
        <v>16900</v>
      </c>
      <c r="Z66" s="366"/>
      <c r="AA66" s="366"/>
      <c r="AB66" s="366"/>
      <c r="AC66" s="16" t="s">
        <v>1</v>
      </c>
      <c r="AD66" s="18"/>
      <c r="AG66" s="413"/>
      <c r="AH66" s="441"/>
      <c r="AI66" s="441"/>
      <c r="AJ66" s="441"/>
      <c r="AK66" s="427"/>
      <c r="AL66" s="428"/>
      <c r="AM66" s="417">
        <f t="shared" si="4"/>
        <v>0</v>
      </c>
      <c r="AN66" s="440">
        <f t="shared" si="0"/>
        <v>0</v>
      </c>
    </row>
    <row r="67" spans="2:40" ht="5.0999999999999996" customHeight="1" x14ac:dyDescent="0.15">
      <c r="M67" s="115"/>
      <c r="N67" s="115"/>
      <c r="Q67" s="116"/>
      <c r="R67" s="116"/>
      <c r="S67" s="114"/>
      <c r="T67" s="114"/>
      <c r="U67" s="114"/>
      <c r="V67" s="114"/>
      <c r="W67" s="114"/>
      <c r="Y67" s="114"/>
      <c r="AC67" s="114"/>
      <c r="AD67" s="114"/>
      <c r="AG67" s="413"/>
      <c r="AH67" s="441"/>
      <c r="AI67" s="441"/>
      <c r="AJ67" s="441"/>
      <c r="AK67" s="427"/>
      <c r="AL67" s="428"/>
      <c r="AM67" s="417">
        <f t="shared" si="4"/>
        <v>0</v>
      </c>
      <c r="AN67" s="440">
        <f t="shared" si="0"/>
        <v>0</v>
      </c>
    </row>
    <row r="68" spans="2:40" ht="14.25" x14ac:dyDescent="0.15">
      <c r="B68" s="86" t="s">
        <v>194</v>
      </c>
      <c r="C68" s="287" t="s">
        <v>398</v>
      </c>
      <c r="D68" s="287"/>
      <c r="E68" s="287"/>
      <c r="F68" s="287"/>
      <c r="G68" s="287"/>
      <c r="H68" s="287"/>
      <c r="I68" s="287"/>
      <c r="J68" s="287"/>
      <c r="K68" s="287"/>
      <c r="L68" s="287"/>
      <c r="M68" s="287"/>
      <c r="N68" s="287"/>
      <c r="O68" s="287"/>
      <c r="P68" s="287"/>
      <c r="Q68" s="287"/>
      <c r="R68" s="287"/>
      <c r="S68" s="287"/>
      <c r="T68" s="287"/>
      <c r="U68" s="287"/>
      <c r="V68" s="287"/>
      <c r="W68" s="287"/>
      <c r="X68" s="287"/>
      <c r="Y68" s="287" t="s">
        <v>244</v>
      </c>
      <c r="Z68" s="287"/>
      <c r="AA68" s="287"/>
      <c r="AB68" s="287"/>
      <c r="AC68" s="114"/>
      <c r="AD68" s="114"/>
      <c r="AG68" s="413" t="str">
        <f>C68</f>
        <v>脱落症例経費（症例脱落にかかる経費／１症例当り）</v>
      </c>
      <c r="AH68" s="441">
        <f>ROUNDDOWN(Y71*$AH$33,0)</f>
        <v>55000</v>
      </c>
      <c r="AI68" s="441">
        <f>ROUNDDOWN(Y69*$AH$33,0)</f>
        <v>38500</v>
      </c>
      <c r="AJ68" s="441">
        <v>0</v>
      </c>
      <c r="AK68" s="427">
        <f>INT(AH68*0.01)</f>
        <v>550</v>
      </c>
      <c r="AL68" s="428">
        <f>AK68*4</f>
        <v>2200</v>
      </c>
      <c r="AM68" s="417">
        <f t="shared" si="4"/>
        <v>14300</v>
      </c>
      <c r="AN68" s="440">
        <f t="shared" si="0"/>
        <v>14300</v>
      </c>
    </row>
    <row r="69" spans="2:40" ht="14.25" x14ac:dyDescent="0.15">
      <c r="C69" s="287" t="s">
        <v>104</v>
      </c>
      <c r="D69" s="287"/>
      <c r="E69" s="287"/>
      <c r="F69" s="287"/>
      <c r="G69" s="287"/>
      <c r="H69" s="287"/>
      <c r="I69" s="287"/>
      <c r="J69" s="287"/>
      <c r="K69" s="287"/>
      <c r="L69" s="287"/>
      <c r="M69" s="287"/>
      <c r="N69" s="287"/>
      <c r="O69" s="287"/>
      <c r="P69" s="287"/>
      <c r="Q69" s="287"/>
      <c r="R69" s="287"/>
      <c r="S69" s="287"/>
      <c r="T69" s="287"/>
      <c r="U69" s="287"/>
      <c r="V69" s="287"/>
      <c r="W69" s="367" t="s">
        <v>105</v>
      </c>
      <c r="X69" s="367"/>
      <c r="Y69" s="371">
        <f>IF(S2="■",35000*0.7,35000)</f>
        <v>35000</v>
      </c>
      <c r="Z69" s="371"/>
      <c r="AA69" s="371"/>
      <c r="AB69" s="371"/>
      <c r="AC69" s="16" t="s">
        <v>1</v>
      </c>
      <c r="AD69" s="18"/>
      <c r="AG69" s="413"/>
      <c r="AH69" s="441"/>
      <c r="AI69" s="441"/>
      <c r="AJ69" s="441"/>
      <c r="AK69" s="427"/>
      <c r="AL69" s="428"/>
      <c r="AM69" s="417">
        <f t="shared" si="4"/>
        <v>0</v>
      </c>
      <c r="AN69" s="440">
        <f t="shared" si="0"/>
        <v>0</v>
      </c>
    </row>
    <row r="70" spans="2:40" ht="14.25" x14ac:dyDescent="0.15">
      <c r="C70" s="287" t="s">
        <v>257</v>
      </c>
      <c r="D70" s="287"/>
      <c r="E70" s="287"/>
      <c r="F70" s="287"/>
      <c r="G70" s="287"/>
      <c r="H70" s="369">
        <f>IF(S2="■",15000*0.7,15000)</f>
        <v>15000</v>
      </c>
      <c r="I70" s="369"/>
      <c r="J70" s="369"/>
      <c r="K70" s="287" t="s">
        <v>1</v>
      </c>
      <c r="L70" s="287"/>
      <c r="M70" s="287"/>
      <c r="N70" s="287"/>
      <c r="O70" s="287"/>
      <c r="P70" s="287"/>
      <c r="Q70" s="287"/>
      <c r="R70" s="287"/>
      <c r="S70" s="287"/>
      <c r="T70" s="287"/>
      <c r="U70" s="287"/>
      <c r="V70" s="287"/>
      <c r="W70" s="367" t="s">
        <v>105</v>
      </c>
      <c r="X70" s="367"/>
      <c r="Y70" s="350">
        <f>H70</f>
        <v>15000</v>
      </c>
      <c r="Z70" s="350"/>
      <c r="AA70" s="350"/>
      <c r="AB70" s="350"/>
      <c r="AC70" s="16" t="s">
        <v>1</v>
      </c>
      <c r="AD70" s="18"/>
      <c r="AG70" s="413"/>
      <c r="AH70" s="441"/>
      <c r="AI70" s="441"/>
      <c r="AJ70" s="441"/>
      <c r="AK70" s="427"/>
      <c r="AL70" s="428"/>
      <c r="AM70" s="417">
        <f t="shared" si="4"/>
        <v>0</v>
      </c>
      <c r="AN70" s="440">
        <f t="shared" si="0"/>
        <v>0</v>
      </c>
    </row>
    <row r="71" spans="2:40" ht="14.25" x14ac:dyDescent="0.15">
      <c r="H71" s="118"/>
      <c r="I71" s="118"/>
      <c r="J71" s="118"/>
      <c r="M71" s="115"/>
      <c r="N71" s="115"/>
      <c r="O71" s="115"/>
      <c r="W71" s="367" t="s">
        <v>396</v>
      </c>
      <c r="X71" s="367"/>
      <c r="Y71" s="366">
        <f>SUM(Y69:AB70)</f>
        <v>50000</v>
      </c>
      <c r="Z71" s="366"/>
      <c r="AA71" s="366"/>
      <c r="AB71" s="366"/>
      <c r="AC71" s="16" t="s">
        <v>1</v>
      </c>
      <c r="AD71" s="18"/>
      <c r="AG71" s="413"/>
      <c r="AH71" s="441"/>
      <c r="AI71" s="441"/>
      <c r="AJ71" s="441"/>
      <c r="AK71" s="427"/>
      <c r="AL71" s="428"/>
      <c r="AM71" s="417">
        <f t="shared" si="4"/>
        <v>0</v>
      </c>
      <c r="AN71" s="440">
        <f t="shared" si="0"/>
        <v>0</v>
      </c>
    </row>
    <row r="72" spans="2:40" ht="5.0999999999999996" customHeight="1" x14ac:dyDescent="0.15">
      <c r="Q72" s="114"/>
      <c r="R72" s="114"/>
      <c r="S72" s="114"/>
      <c r="T72" s="114"/>
      <c r="U72" s="114"/>
      <c r="V72" s="114"/>
      <c r="W72" s="114"/>
      <c r="Y72" s="114"/>
      <c r="AC72" s="114"/>
      <c r="AD72" s="114"/>
      <c r="AG72" s="413"/>
      <c r="AH72" s="441"/>
      <c r="AI72" s="441"/>
      <c r="AJ72" s="441"/>
      <c r="AK72" s="427"/>
      <c r="AL72" s="428"/>
      <c r="AM72" s="417">
        <f t="shared" si="4"/>
        <v>0</v>
      </c>
      <c r="AN72" s="440">
        <f t="shared" si="0"/>
        <v>0</v>
      </c>
    </row>
    <row r="73" spans="2:40" ht="14.25" x14ac:dyDescent="0.15">
      <c r="B73" s="86" t="s">
        <v>195</v>
      </c>
      <c r="C73" s="287" t="s">
        <v>399</v>
      </c>
      <c r="D73" s="287"/>
      <c r="E73" s="287"/>
      <c r="F73" s="287"/>
      <c r="G73" s="287"/>
      <c r="H73" s="287"/>
      <c r="I73" s="287"/>
      <c r="J73" s="287"/>
      <c r="K73" s="287"/>
      <c r="L73" s="287"/>
      <c r="M73" s="287"/>
      <c r="N73" s="287"/>
      <c r="O73" s="287"/>
      <c r="P73" s="287"/>
      <c r="Q73" s="287"/>
      <c r="R73" s="287"/>
      <c r="S73" s="287"/>
      <c r="T73" s="287"/>
      <c r="U73" s="287"/>
      <c r="V73" s="287"/>
      <c r="W73" s="287"/>
      <c r="X73" s="287"/>
      <c r="Y73" s="287" t="s">
        <v>244</v>
      </c>
      <c r="Z73" s="287"/>
      <c r="AA73" s="287"/>
      <c r="AB73" s="287"/>
      <c r="AC73" s="114"/>
      <c r="AD73" s="114"/>
      <c r="AG73" s="442" t="str">
        <f>C73</f>
        <v>監査対応費（依頼者の監査にかかる経費／１日当り）</v>
      </c>
      <c r="AH73" s="441">
        <f>ROUNDDOWN(Y74*$AH$33,0)</f>
        <v>55000</v>
      </c>
      <c r="AI73" s="441">
        <v>0</v>
      </c>
      <c r="AJ73" s="441">
        <v>0</v>
      </c>
      <c r="AK73" s="427">
        <v>0</v>
      </c>
      <c r="AL73" s="428">
        <v>0</v>
      </c>
      <c r="AM73" s="417">
        <f>AH73</f>
        <v>55000</v>
      </c>
      <c r="AN73" s="440">
        <f t="shared" si="0"/>
        <v>55000</v>
      </c>
    </row>
    <row r="74" spans="2:40" ht="14.25" x14ac:dyDescent="0.15">
      <c r="C74" s="287" t="s">
        <v>104</v>
      </c>
      <c r="D74" s="287"/>
      <c r="E74" s="287"/>
      <c r="F74" s="287"/>
      <c r="G74" s="287"/>
      <c r="H74" s="287"/>
      <c r="I74" s="287"/>
      <c r="J74" s="287"/>
      <c r="K74" s="287"/>
      <c r="L74" s="287"/>
      <c r="M74" s="287"/>
      <c r="N74" s="287"/>
      <c r="O74" s="287"/>
      <c r="P74" s="287"/>
      <c r="Q74" s="287"/>
      <c r="R74" s="287"/>
      <c r="S74" s="287"/>
      <c r="T74" s="287"/>
      <c r="U74" s="287"/>
      <c r="V74" s="287"/>
      <c r="W74" s="367" t="s">
        <v>105</v>
      </c>
      <c r="X74" s="367"/>
      <c r="Y74" s="371">
        <f>IF(S2="■",50000*0.7,50000)</f>
        <v>50000</v>
      </c>
      <c r="Z74" s="371"/>
      <c r="AA74" s="371"/>
      <c r="AB74" s="371"/>
      <c r="AC74" s="16" t="s">
        <v>1</v>
      </c>
      <c r="AD74" s="18"/>
      <c r="AG74" s="442"/>
      <c r="AH74" s="441"/>
      <c r="AI74" s="441"/>
      <c r="AJ74" s="441"/>
      <c r="AK74" s="427"/>
      <c r="AL74" s="428"/>
      <c r="AM74" s="417"/>
      <c r="AN74" s="440">
        <f t="shared" si="0"/>
        <v>0</v>
      </c>
    </row>
    <row r="75" spans="2:40" ht="5.0999999999999996" customHeight="1" x14ac:dyDescent="0.15">
      <c r="Q75" s="114"/>
      <c r="R75" s="114"/>
      <c r="S75" s="114"/>
      <c r="T75" s="114"/>
      <c r="U75" s="114"/>
      <c r="V75" s="114"/>
      <c r="W75" s="114"/>
      <c r="Y75" s="114"/>
      <c r="AC75" s="114"/>
      <c r="AD75" s="114"/>
      <c r="AG75" s="442"/>
      <c r="AH75" s="441"/>
      <c r="AI75" s="441"/>
      <c r="AJ75" s="441"/>
      <c r="AK75" s="427"/>
      <c r="AL75" s="428"/>
      <c r="AM75" s="417"/>
      <c r="AN75" s="440">
        <f t="shared" si="0"/>
        <v>0</v>
      </c>
    </row>
    <row r="76" spans="2:40" ht="14.25" x14ac:dyDescent="0.15">
      <c r="B76" s="86" t="s">
        <v>196</v>
      </c>
      <c r="C76" s="287" t="s">
        <v>400</v>
      </c>
      <c r="D76" s="287"/>
      <c r="E76" s="287"/>
      <c r="F76" s="287"/>
      <c r="G76" s="287"/>
      <c r="H76" s="287"/>
      <c r="I76" s="287"/>
      <c r="J76" s="287"/>
      <c r="K76" s="287"/>
      <c r="L76" s="287"/>
      <c r="M76" s="287"/>
      <c r="N76" s="287"/>
      <c r="O76" s="287"/>
      <c r="P76" s="287"/>
      <c r="Q76" s="287"/>
      <c r="R76" s="287"/>
      <c r="S76" s="287"/>
      <c r="T76" s="287"/>
      <c r="U76" s="287"/>
      <c r="V76" s="287"/>
      <c r="W76" s="287"/>
      <c r="X76" s="287"/>
      <c r="Y76" s="287" t="s">
        <v>244</v>
      </c>
      <c r="Z76" s="287"/>
      <c r="AA76" s="287"/>
      <c r="AB76" s="287"/>
      <c r="AC76" s="114"/>
      <c r="AD76" s="114"/>
      <c r="AG76" s="442" t="str">
        <f>C76</f>
        <v>ＧＣＰ適合性調査対応費（規制当局の査察にかかる経費／１日当り）</v>
      </c>
      <c r="AH76" s="441">
        <f>ROUNDDOWN(Y77*$AH$33,0)</f>
        <v>110000</v>
      </c>
      <c r="AI76" s="441">
        <v>0</v>
      </c>
      <c r="AJ76" s="441">
        <v>0</v>
      </c>
      <c r="AK76" s="427">
        <v>0</v>
      </c>
      <c r="AL76" s="428">
        <v>0</v>
      </c>
      <c r="AM76" s="417">
        <f t="shared" ref="AM76" si="5">AH76</f>
        <v>110000</v>
      </c>
      <c r="AN76" s="440">
        <f t="shared" si="0"/>
        <v>110000</v>
      </c>
    </row>
    <row r="77" spans="2:40" ht="14.25" x14ac:dyDescent="0.15">
      <c r="C77" s="287" t="s">
        <v>104</v>
      </c>
      <c r="D77" s="287"/>
      <c r="E77" s="287"/>
      <c r="F77" s="287"/>
      <c r="G77" s="287"/>
      <c r="H77" s="287"/>
      <c r="I77" s="287"/>
      <c r="J77" s="287"/>
      <c r="K77" s="287"/>
      <c r="L77" s="287"/>
      <c r="M77" s="287"/>
      <c r="N77" s="287"/>
      <c r="O77" s="287"/>
      <c r="P77" s="287"/>
      <c r="Q77" s="287"/>
      <c r="R77" s="287"/>
      <c r="S77" s="287"/>
      <c r="T77" s="287"/>
      <c r="U77" s="287"/>
      <c r="V77" s="287"/>
      <c r="W77" s="367" t="s">
        <v>105</v>
      </c>
      <c r="X77" s="367"/>
      <c r="Y77" s="371">
        <f>IF(S2="■","－",100000)</f>
        <v>100000</v>
      </c>
      <c r="Z77" s="371"/>
      <c r="AA77" s="371"/>
      <c r="AB77" s="371"/>
      <c r="AC77" s="16" t="s">
        <v>1</v>
      </c>
      <c r="AD77" s="18"/>
      <c r="AG77" s="442"/>
      <c r="AH77" s="441"/>
      <c r="AI77" s="441"/>
      <c r="AJ77" s="441"/>
      <c r="AK77" s="427"/>
      <c r="AL77" s="428"/>
      <c r="AM77" s="417"/>
      <c r="AN77" s="440">
        <f t="shared" si="0"/>
        <v>0</v>
      </c>
    </row>
    <row r="78" spans="2:40" ht="5.0999999999999996" customHeight="1" x14ac:dyDescent="0.15">
      <c r="Q78" s="114"/>
      <c r="R78" s="114"/>
      <c r="S78" s="114"/>
      <c r="T78" s="114"/>
      <c r="U78" s="114"/>
      <c r="V78" s="114"/>
      <c r="W78" s="114"/>
      <c r="Y78" s="114"/>
      <c r="AC78" s="114"/>
      <c r="AD78" s="114"/>
      <c r="AG78" s="442"/>
      <c r="AH78" s="441"/>
      <c r="AI78" s="441"/>
      <c r="AJ78" s="441"/>
      <c r="AK78" s="427"/>
      <c r="AL78" s="428"/>
      <c r="AM78" s="417"/>
      <c r="AN78" s="440">
        <f t="shared" si="0"/>
        <v>0</v>
      </c>
    </row>
    <row r="79" spans="2:40" ht="14.25" x14ac:dyDescent="0.15">
      <c r="B79" s="86" t="s">
        <v>197</v>
      </c>
      <c r="C79" s="287" t="s">
        <v>401</v>
      </c>
      <c r="D79" s="287"/>
      <c r="E79" s="287"/>
      <c r="F79" s="287"/>
      <c r="G79" s="287"/>
      <c r="H79" s="287"/>
      <c r="I79" s="287"/>
      <c r="J79" s="287"/>
      <c r="K79" s="287"/>
      <c r="L79" s="287"/>
      <c r="M79" s="287"/>
      <c r="N79" s="287"/>
      <c r="O79" s="287"/>
      <c r="P79" s="287"/>
      <c r="Q79" s="287"/>
      <c r="R79" s="287"/>
      <c r="S79" s="287"/>
      <c r="T79" s="287"/>
      <c r="U79" s="287"/>
      <c r="V79" s="287"/>
      <c r="W79" s="287"/>
      <c r="X79" s="287"/>
      <c r="Y79" s="287" t="s">
        <v>244</v>
      </c>
      <c r="Z79" s="287"/>
      <c r="AA79" s="287"/>
      <c r="AB79" s="287"/>
      <c r="AC79" s="114"/>
      <c r="AD79" s="114"/>
      <c r="AG79" s="442" t="str">
        <f>C79</f>
        <v>終了報告書提出後対応費（モニタリング又は監査にかかる経費／１日当り）</v>
      </c>
      <c r="AH79" s="441">
        <f>ROUNDDOWN(Y80*$AH$33,0)</f>
        <v>55000</v>
      </c>
      <c r="AI79" s="441">
        <v>0</v>
      </c>
      <c r="AJ79" s="441">
        <v>0</v>
      </c>
      <c r="AK79" s="427">
        <v>0</v>
      </c>
      <c r="AL79" s="428">
        <v>0</v>
      </c>
      <c r="AM79" s="417">
        <f t="shared" ref="AM79" si="6">AH79</f>
        <v>55000</v>
      </c>
      <c r="AN79" s="440">
        <f t="shared" si="0"/>
        <v>55000</v>
      </c>
    </row>
    <row r="80" spans="2:40" ht="14.25" x14ac:dyDescent="0.15">
      <c r="C80" s="287" t="s">
        <v>104</v>
      </c>
      <c r="D80" s="287"/>
      <c r="E80" s="287"/>
      <c r="F80" s="287"/>
      <c r="G80" s="287"/>
      <c r="H80" s="287"/>
      <c r="I80" s="287"/>
      <c r="J80" s="287"/>
      <c r="K80" s="287"/>
      <c r="L80" s="287"/>
      <c r="M80" s="287"/>
      <c r="N80" s="287"/>
      <c r="O80" s="287"/>
      <c r="P80" s="287"/>
      <c r="Q80" s="287"/>
      <c r="R80" s="287"/>
      <c r="S80" s="287"/>
      <c r="T80" s="287"/>
      <c r="U80" s="287"/>
      <c r="V80" s="287"/>
      <c r="W80" s="367" t="s">
        <v>105</v>
      </c>
      <c r="X80" s="367"/>
      <c r="Y80" s="371">
        <f>IF(S2="■",50000*0.7,50000)</f>
        <v>50000</v>
      </c>
      <c r="Z80" s="371"/>
      <c r="AA80" s="371"/>
      <c r="AB80" s="371"/>
      <c r="AC80" s="16" t="s">
        <v>1</v>
      </c>
      <c r="AD80" s="18"/>
      <c r="AG80" s="442"/>
      <c r="AH80" s="441"/>
      <c r="AI80" s="441"/>
      <c r="AJ80" s="441"/>
      <c r="AK80" s="427"/>
      <c r="AL80" s="428"/>
      <c r="AM80" s="417"/>
      <c r="AN80" s="440">
        <f t="shared" si="0"/>
        <v>0</v>
      </c>
    </row>
    <row r="81" spans="1:40" ht="5.0999999999999996" customHeight="1" x14ac:dyDescent="0.15">
      <c r="AG81" s="442"/>
      <c r="AH81" s="441"/>
      <c r="AI81" s="441"/>
      <c r="AJ81" s="441"/>
      <c r="AK81" s="427"/>
      <c r="AL81" s="428"/>
      <c r="AM81" s="417"/>
      <c r="AN81" s="440">
        <f t="shared" si="0"/>
        <v>0</v>
      </c>
    </row>
    <row r="82" spans="1:40" x14ac:dyDescent="0.15">
      <c r="B82" s="86" t="s">
        <v>224</v>
      </c>
      <c r="C82" s="287" t="s">
        <v>217</v>
      </c>
      <c r="D82" s="287"/>
      <c r="E82" s="287"/>
      <c r="F82" s="287"/>
      <c r="G82" s="287"/>
      <c r="H82" s="287"/>
      <c r="I82" s="287"/>
      <c r="J82" s="287"/>
      <c r="K82" s="287"/>
      <c r="L82" s="287"/>
      <c r="M82" s="287"/>
      <c r="N82" s="287"/>
      <c r="O82" s="287"/>
      <c r="P82" s="287"/>
      <c r="Q82" s="287"/>
      <c r="R82" s="287"/>
      <c r="S82" s="287"/>
      <c r="T82" s="287"/>
      <c r="U82" s="287"/>
      <c r="V82" s="287"/>
      <c r="W82" s="287"/>
      <c r="X82" s="287"/>
      <c r="Y82" s="287" t="s">
        <v>244</v>
      </c>
      <c r="Z82" s="287"/>
      <c r="AA82" s="287"/>
      <c r="AB82" s="287"/>
      <c r="AC82" s="92"/>
      <c r="AD82" s="92"/>
      <c r="AG82" s="414" t="str">
        <f>C82</f>
        <v>治験実施計画書で必要とする資材（当院で購入が必要な資材）</v>
      </c>
      <c r="AH82" s="422">
        <v>0</v>
      </c>
      <c r="AI82" s="422">
        <v>0</v>
      </c>
      <c r="AJ82" s="444">
        <v>0</v>
      </c>
      <c r="AK82" s="447">
        <v>0</v>
      </c>
      <c r="AL82" s="444">
        <v>0</v>
      </c>
      <c r="AM82" s="447">
        <v>0</v>
      </c>
      <c r="AN82" s="422">
        <f t="shared" si="0"/>
        <v>0</v>
      </c>
    </row>
    <row r="83" spans="1:40" ht="14.25" x14ac:dyDescent="0.15">
      <c r="C83" s="112" t="str">
        <f>R38</f>
        <v>■</v>
      </c>
      <c r="D83" s="287" t="s">
        <v>223</v>
      </c>
      <c r="E83" s="287"/>
      <c r="F83" s="287"/>
      <c r="G83" s="287"/>
      <c r="H83" s="287"/>
      <c r="I83" s="287"/>
      <c r="J83" s="287"/>
      <c r="K83" s="287"/>
      <c r="L83" s="287"/>
      <c r="M83" s="287"/>
      <c r="N83" s="287"/>
      <c r="O83" s="287"/>
      <c r="P83" s="287"/>
      <c r="Q83" s="287"/>
      <c r="R83" s="287"/>
      <c r="S83" s="287"/>
      <c r="T83" s="287"/>
      <c r="U83" s="287"/>
      <c r="V83" s="287"/>
      <c r="W83" s="367" t="s">
        <v>105</v>
      </c>
      <c r="X83" s="367"/>
      <c r="Y83" s="288" t="str">
        <f>IF(C83="■","購入金額","")</f>
        <v>購入金額</v>
      </c>
      <c r="Z83" s="288"/>
      <c r="AA83" s="288"/>
      <c r="AB83" s="288"/>
      <c r="AC83" s="16" t="s">
        <v>1</v>
      </c>
      <c r="AD83" s="18"/>
      <c r="AG83" s="432"/>
      <c r="AH83" s="423"/>
      <c r="AI83" s="423"/>
      <c r="AJ83" s="445"/>
      <c r="AK83" s="448"/>
      <c r="AL83" s="445"/>
      <c r="AM83" s="448"/>
      <c r="AN83" s="423">
        <f t="shared" si="0"/>
        <v>0</v>
      </c>
    </row>
    <row r="84" spans="1:40" ht="5.0999999999999996" customHeight="1" x14ac:dyDescent="0.15">
      <c r="AG84" s="432"/>
      <c r="AH84" s="423"/>
      <c r="AI84" s="423"/>
      <c r="AJ84" s="445"/>
      <c r="AK84" s="448"/>
      <c r="AL84" s="445"/>
      <c r="AM84" s="448"/>
      <c r="AN84" s="423">
        <f t="shared" si="0"/>
        <v>0</v>
      </c>
    </row>
    <row r="85" spans="1:40" x14ac:dyDescent="0.15">
      <c r="A85" s="287" t="s">
        <v>185</v>
      </c>
      <c r="B85" s="287"/>
      <c r="C85" s="287"/>
      <c r="D85" s="287"/>
      <c r="E85" s="287"/>
      <c r="F85" s="287"/>
      <c r="G85" s="287"/>
      <c r="H85" s="287"/>
      <c r="I85" s="287"/>
      <c r="J85" s="287"/>
      <c r="K85" s="287"/>
      <c r="L85" s="287"/>
      <c r="M85" s="287"/>
      <c r="N85" s="287"/>
      <c r="O85" s="287"/>
      <c r="P85" s="287"/>
      <c r="Q85" s="287"/>
      <c r="R85" s="287"/>
      <c r="S85" s="287"/>
      <c r="T85" s="287"/>
      <c r="U85" s="287"/>
      <c r="V85" s="287"/>
      <c r="AG85" s="433"/>
      <c r="AH85" s="424"/>
      <c r="AI85" s="424"/>
      <c r="AJ85" s="446"/>
      <c r="AK85" s="449"/>
      <c r="AL85" s="446"/>
      <c r="AM85" s="449"/>
      <c r="AN85" s="424"/>
    </row>
    <row r="86" spans="1:40" ht="14.25" x14ac:dyDescent="0.15">
      <c r="B86" s="86" t="s">
        <v>190</v>
      </c>
      <c r="C86" s="287" t="s">
        <v>348</v>
      </c>
      <c r="D86" s="287"/>
      <c r="E86" s="287"/>
      <c r="F86" s="287"/>
      <c r="G86" s="287"/>
      <c r="H86" s="287"/>
      <c r="I86" s="287"/>
      <c r="J86" s="377" t="s">
        <v>402</v>
      </c>
      <c r="K86" s="377"/>
      <c r="L86" s="377"/>
      <c r="M86" s="376">
        <v>25</v>
      </c>
      <c r="N86" s="376"/>
      <c r="O86" s="376"/>
      <c r="P86" s="287" t="s">
        <v>157</v>
      </c>
      <c r="Q86" s="287"/>
      <c r="R86" s="287"/>
      <c r="S86" s="287"/>
      <c r="T86" s="287"/>
      <c r="U86" s="287"/>
      <c r="V86" s="287"/>
      <c r="Y86" s="287" t="s">
        <v>244</v>
      </c>
      <c r="Z86" s="287"/>
      <c r="AA86" s="287"/>
      <c r="AB86" s="287"/>
      <c r="AG86" s="413" t="str">
        <f>C86</f>
        <v>資料の保存にかかる経費</v>
      </c>
      <c r="AH86" s="441">
        <f>ROUNDDOWN(Y89*$AH$33,0)</f>
        <v>341000</v>
      </c>
      <c r="AI86" s="441">
        <v>0</v>
      </c>
      <c r="AJ86" s="441">
        <v>0</v>
      </c>
      <c r="AK86" s="427">
        <v>0</v>
      </c>
      <c r="AL86" s="428">
        <v>0</v>
      </c>
      <c r="AM86" s="443">
        <f>AH86</f>
        <v>341000</v>
      </c>
      <c r="AN86" s="440">
        <f t="shared" si="0"/>
        <v>341000</v>
      </c>
    </row>
    <row r="87" spans="1:40" ht="14.25" x14ac:dyDescent="0.15">
      <c r="C87" s="287" t="s">
        <v>403</v>
      </c>
      <c r="D87" s="287"/>
      <c r="E87" s="287"/>
      <c r="F87" s="287"/>
      <c r="G87" s="287"/>
      <c r="H87" s="287"/>
      <c r="I87" s="287"/>
      <c r="J87" s="287"/>
      <c r="K87" s="287"/>
      <c r="L87" s="287"/>
      <c r="M87" s="287"/>
      <c r="N87" s="287"/>
      <c r="O87" s="287"/>
      <c r="P87" s="287"/>
      <c r="Q87" s="287"/>
      <c r="R87" s="287"/>
      <c r="S87" s="287"/>
      <c r="T87" s="287"/>
      <c r="U87" s="287"/>
      <c r="V87" s="287"/>
      <c r="W87" s="367" t="s">
        <v>105</v>
      </c>
      <c r="X87" s="367"/>
      <c r="Y87" s="373">
        <v>10000</v>
      </c>
      <c r="Z87" s="373"/>
      <c r="AA87" s="373"/>
      <c r="AB87" s="373"/>
      <c r="AC87" s="16" t="s">
        <v>1</v>
      </c>
      <c r="AD87" s="18"/>
      <c r="AG87" s="413"/>
      <c r="AH87" s="441"/>
      <c r="AI87" s="441"/>
      <c r="AJ87" s="441"/>
      <c r="AK87" s="427"/>
      <c r="AL87" s="428"/>
      <c r="AM87" s="443"/>
      <c r="AN87" s="440">
        <f t="shared" si="0"/>
        <v>0</v>
      </c>
    </row>
    <row r="88" spans="1:40" ht="14.25" x14ac:dyDescent="0.15">
      <c r="C88" s="287" t="s">
        <v>404</v>
      </c>
      <c r="D88" s="287"/>
      <c r="E88" s="287"/>
      <c r="F88" s="287"/>
      <c r="G88" s="287"/>
      <c r="H88" s="395">
        <v>12000</v>
      </c>
      <c r="I88" s="395"/>
      <c r="J88" s="395"/>
      <c r="K88" s="86" t="s">
        <v>1</v>
      </c>
      <c r="L88" s="87" t="s">
        <v>28</v>
      </c>
      <c r="M88" s="396">
        <f>M86</f>
        <v>25</v>
      </c>
      <c r="N88" s="396"/>
      <c r="O88" s="396"/>
      <c r="P88" s="86" t="s">
        <v>246</v>
      </c>
      <c r="W88" s="367" t="s">
        <v>105</v>
      </c>
      <c r="X88" s="367"/>
      <c r="Y88" s="372">
        <f>IF(M86="","",H88*M88)</f>
        <v>300000</v>
      </c>
      <c r="Z88" s="372"/>
      <c r="AA88" s="372"/>
      <c r="AB88" s="372"/>
      <c r="AC88" s="16" t="s">
        <v>1</v>
      </c>
      <c r="AD88" s="18"/>
      <c r="AG88" s="413"/>
      <c r="AH88" s="441"/>
      <c r="AI88" s="441"/>
      <c r="AJ88" s="441"/>
      <c r="AK88" s="427"/>
      <c r="AL88" s="428"/>
      <c r="AM88" s="443"/>
      <c r="AN88" s="440">
        <f t="shared" si="0"/>
        <v>0</v>
      </c>
    </row>
    <row r="89" spans="1:40" ht="14.25" x14ac:dyDescent="0.15">
      <c r="L89" s="120"/>
      <c r="M89" s="120"/>
      <c r="N89" s="120"/>
      <c r="Q89" s="152"/>
      <c r="R89" s="152"/>
      <c r="S89" s="152"/>
      <c r="T89" s="152"/>
      <c r="W89" s="367" t="s">
        <v>396</v>
      </c>
      <c r="X89" s="367"/>
      <c r="Y89" s="350">
        <f>IF(M86="","",SUM(Y87:AB88))</f>
        <v>310000</v>
      </c>
      <c r="Z89" s="350"/>
      <c r="AA89" s="350"/>
      <c r="AB89" s="350"/>
      <c r="AC89" s="16" t="s">
        <v>1</v>
      </c>
      <c r="AD89" s="18"/>
      <c r="AG89" s="413"/>
      <c r="AH89" s="441"/>
      <c r="AI89" s="441"/>
      <c r="AJ89" s="441"/>
      <c r="AK89" s="427"/>
      <c r="AL89" s="428"/>
      <c r="AM89" s="443"/>
      <c r="AN89" s="440">
        <f t="shared" si="0"/>
        <v>0</v>
      </c>
    </row>
  </sheetData>
  <sheetProtection sheet="1" formatCells="0" formatRows="0"/>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364">
    <mergeCell ref="Y7:AA7"/>
    <mergeCell ref="Y14:AE14"/>
    <mergeCell ref="Y28:AE28"/>
    <mergeCell ref="H30:X30"/>
    <mergeCell ref="Y26:AE26"/>
    <mergeCell ref="V34:X34"/>
    <mergeCell ref="Y32:AE32"/>
    <mergeCell ref="Y16:AE16"/>
    <mergeCell ref="Y15:AE15"/>
    <mergeCell ref="Y17:AE17"/>
    <mergeCell ref="Y18:AE18"/>
    <mergeCell ref="S20:X20"/>
    <mergeCell ref="H20:Q20"/>
    <mergeCell ref="S21:X21"/>
    <mergeCell ref="H21:Q21"/>
    <mergeCell ref="H9:X9"/>
    <mergeCell ref="P10:X10"/>
    <mergeCell ref="N10:O10"/>
    <mergeCell ref="H10:M10"/>
    <mergeCell ref="Y10:AE10"/>
    <mergeCell ref="V17:X17"/>
    <mergeCell ref="AG86:AG89"/>
    <mergeCell ref="AH86:AH89"/>
    <mergeCell ref="AI86:AI89"/>
    <mergeCell ref="AJ86:AJ89"/>
    <mergeCell ref="AK86:AK89"/>
    <mergeCell ref="AL86:AL89"/>
    <mergeCell ref="AM86:AM89"/>
    <mergeCell ref="AN86:AN89"/>
    <mergeCell ref="AG79:AG81"/>
    <mergeCell ref="AH79:AH81"/>
    <mergeCell ref="AI79:AI81"/>
    <mergeCell ref="AJ79:AJ81"/>
    <mergeCell ref="AK79:AK81"/>
    <mergeCell ref="AL79:AL81"/>
    <mergeCell ref="AM79:AM81"/>
    <mergeCell ref="AN79:AN81"/>
    <mergeCell ref="AG82:AG85"/>
    <mergeCell ref="AH82:AH85"/>
    <mergeCell ref="AI82:AI85"/>
    <mergeCell ref="AJ82:AJ85"/>
    <mergeCell ref="AK82:AK85"/>
    <mergeCell ref="AL82:AL85"/>
    <mergeCell ref="AM82:AM85"/>
    <mergeCell ref="AN82:AN85"/>
    <mergeCell ref="AG73:AG75"/>
    <mergeCell ref="AH73:AH75"/>
    <mergeCell ref="AI73:AI75"/>
    <mergeCell ref="AJ73:AJ75"/>
    <mergeCell ref="AK73:AK75"/>
    <mergeCell ref="AL73:AL75"/>
    <mergeCell ref="AM73:AM75"/>
    <mergeCell ref="AN73:AN75"/>
    <mergeCell ref="AG76:AG78"/>
    <mergeCell ref="AH76:AH78"/>
    <mergeCell ref="AI76:AI78"/>
    <mergeCell ref="AJ76:AJ78"/>
    <mergeCell ref="AK76:AK78"/>
    <mergeCell ref="AL76:AL78"/>
    <mergeCell ref="AM76:AM78"/>
    <mergeCell ref="AN76:AN78"/>
    <mergeCell ref="AM63:AM67"/>
    <mergeCell ref="AN63:AN67"/>
    <mergeCell ref="AG68:AG72"/>
    <mergeCell ref="AH68:AH72"/>
    <mergeCell ref="AI68:AI72"/>
    <mergeCell ref="AJ68:AJ72"/>
    <mergeCell ref="AK68:AK72"/>
    <mergeCell ref="AL68:AL72"/>
    <mergeCell ref="AM68:AM72"/>
    <mergeCell ref="AN68:AN72"/>
    <mergeCell ref="AG63:AG67"/>
    <mergeCell ref="AH63:AH67"/>
    <mergeCell ref="AI63:AI67"/>
    <mergeCell ref="AJ63:AJ67"/>
    <mergeCell ref="AK63:AK67"/>
    <mergeCell ref="AL63:AL67"/>
    <mergeCell ref="AM53:AM57"/>
    <mergeCell ref="AN53:AN57"/>
    <mergeCell ref="AG58:AG62"/>
    <mergeCell ref="AH58:AH62"/>
    <mergeCell ref="AI58:AI62"/>
    <mergeCell ref="AJ58:AJ62"/>
    <mergeCell ref="AK58:AK62"/>
    <mergeCell ref="AL58:AL62"/>
    <mergeCell ref="AM58:AM62"/>
    <mergeCell ref="AN58:AN62"/>
    <mergeCell ref="AG53:AG57"/>
    <mergeCell ref="AH53:AH57"/>
    <mergeCell ref="AI53:AI57"/>
    <mergeCell ref="AJ53:AJ57"/>
    <mergeCell ref="AK53:AK57"/>
    <mergeCell ref="AL53:AL57"/>
    <mergeCell ref="AH48:AH52"/>
    <mergeCell ref="AI48:AI52"/>
    <mergeCell ref="AJ48:AJ52"/>
    <mergeCell ref="AK48:AK52"/>
    <mergeCell ref="AL48:AL52"/>
    <mergeCell ref="AM48:AM52"/>
    <mergeCell ref="AN48:AN52"/>
    <mergeCell ref="AG42:AG44"/>
    <mergeCell ref="AH42:AH44"/>
    <mergeCell ref="AI42:AI44"/>
    <mergeCell ref="AJ42:AJ44"/>
    <mergeCell ref="AK42:AK44"/>
    <mergeCell ref="AL42:AL44"/>
    <mergeCell ref="AM42:AM44"/>
    <mergeCell ref="AN42:AN44"/>
    <mergeCell ref="AG45:AG47"/>
    <mergeCell ref="AH45:AH47"/>
    <mergeCell ref="AI45:AI47"/>
    <mergeCell ref="AJ45:AJ47"/>
    <mergeCell ref="AK45:AK47"/>
    <mergeCell ref="AL45:AL47"/>
    <mergeCell ref="AM45:AM47"/>
    <mergeCell ref="AN45:AN47"/>
    <mergeCell ref="AM35:AM36"/>
    <mergeCell ref="AN35:AN36"/>
    <mergeCell ref="AG38:AG41"/>
    <mergeCell ref="AH38:AH41"/>
    <mergeCell ref="AI38:AI41"/>
    <mergeCell ref="AJ38:AJ41"/>
    <mergeCell ref="AK38:AK41"/>
    <mergeCell ref="AL38:AL41"/>
    <mergeCell ref="AM38:AM41"/>
    <mergeCell ref="AN38:AN41"/>
    <mergeCell ref="AI31:AI32"/>
    <mergeCell ref="AJ31:AJ32"/>
    <mergeCell ref="AI35:AI36"/>
    <mergeCell ref="AJ35:AJ36"/>
    <mergeCell ref="AK35:AL35"/>
    <mergeCell ref="Y73:AB73"/>
    <mergeCell ref="C76:X76"/>
    <mergeCell ref="Y76:AB76"/>
    <mergeCell ref="C79:X79"/>
    <mergeCell ref="Y79:AB79"/>
    <mergeCell ref="M39:O39"/>
    <mergeCell ref="Y41:AB41"/>
    <mergeCell ref="C43:V43"/>
    <mergeCell ref="W43:X43"/>
    <mergeCell ref="Y43:AB43"/>
    <mergeCell ref="W37:X37"/>
    <mergeCell ref="Y33:AE33"/>
    <mergeCell ref="Y34:AE34"/>
    <mergeCell ref="A32:G32"/>
    <mergeCell ref="H32:X32"/>
    <mergeCell ref="A33:G33"/>
    <mergeCell ref="H33:X33"/>
    <mergeCell ref="Y68:AB68"/>
    <mergeCell ref="AG48:AG52"/>
    <mergeCell ref="Y82:AB82"/>
    <mergeCell ref="Y86:AB86"/>
    <mergeCell ref="C88:G88"/>
    <mergeCell ref="H88:J88"/>
    <mergeCell ref="M88:O88"/>
    <mergeCell ref="Y47:AB47"/>
    <mergeCell ref="C53:V53"/>
    <mergeCell ref="Y53:AB53"/>
    <mergeCell ref="C54:F54"/>
    <mergeCell ref="M54:O54"/>
    <mergeCell ref="P54:V54"/>
    <mergeCell ref="Y58:AB58"/>
    <mergeCell ref="Y63:AB63"/>
    <mergeCell ref="W54:X54"/>
    <mergeCell ref="W60:X60"/>
    <mergeCell ref="W61:X61"/>
    <mergeCell ref="C73:X73"/>
    <mergeCell ref="Y48:AB48"/>
    <mergeCell ref="Y51:AB51"/>
    <mergeCell ref="Y54:AB54"/>
    <mergeCell ref="Y50:AB50"/>
    <mergeCell ref="C65:G65"/>
    <mergeCell ref="C55:G55"/>
    <mergeCell ref="W80:X80"/>
    <mergeCell ref="C68:X68"/>
    <mergeCell ref="I64:K64"/>
    <mergeCell ref="A30:G30"/>
    <mergeCell ref="Y31:AE31"/>
    <mergeCell ref="A34:G34"/>
    <mergeCell ref="H34:U34"/>
    <mergeCell ref="Y36:AB36"/>
    <mergeCell ref="Y30:AE30"/>
    <mergeCell ref="T12:X12"/>
    <mergeCell ref="H12:M12"/>
    <mergeCell ref="A14:G14"/>
    <mergeCell ref="H14:X14"/>
    <mergeCell ref="S28:X28"/>
    <mergeCell ref="Q29:R29"/>
    <mergeCell ref="U29:X29"/>
    <mergeCell ref="A31:G31"/>
    <mergeCell ref="H31:X31"/>
    <mergeCell ref="A12:G12"/>
    <mergeCell ref="A13:G13"/>
    <mergeCell ref="A21:G21"/>
    <mergeCell ref="A23:G23"/>
    <mergeCell ref="H23:M23"/>
    <mergeCell ref="N23:O23"/>
    <mergeCell ref="P23:X23"/>
    <mergeCell ref="Y39:AB39"/>
    <mergeCell ref="Y42:AB42"/>
    <mergeCell ref="W83:X83"/>
    <mergeCell ref="W87:X87"/>
    <mergeCell ref="W64:X64"/>
    <mergeCell ref="W65:X65"/>
    <mergeCell ref="W66:X66"/>
    <mergeCell ref="W69:X69"/>
    <mergeCell ref="C87:V87"/>
    <mergeCell ref="C74:V74"/>
    <mergeCell ref="C77:V77"/>
    <mergeCell ref="C80:V80"/>
    <mergeCell ref="D83:V83"/>
    <mergeCell ref="A85:V85"/>
    <mergeCell ref="C86:I86"/>
    <mergeCell ref="J86:L86"/>
    <mergeCell ref="M86:O86"/>
    <mergeCell ref="P86:V86"/>
    <mergeCell ref="K70:V70"/>
    <mergeCell ref="C82:X82"/>
    <mergeCell ref="P64:V64"/>
    <mergeCell ref="P65:V65"/>
    <mergeCell ref="C69:V69"/>
    <mergeCell ref="C70:G70"/>
    <mergeCell ref="C39:G39"/>
    <mergeCell ref="A41:V41"/>
    <mergeCell ref="C42:V42"/>
    <mergeCell ref="C45:V45"/>
    <mergeCell ref="A47:V47"/>
    <mergeCell ref="C48:V48"/>
    <mergeCell ref="C50:X50"/>
    <mergeCell ref="C51:V51"/>
    <mergeCell ref="C58:V58"/>
    <mergeCell ref="W39:X39"/>
    <mergeCell ref="W56:X56"/>
    <mergeCell ref="J39:K39"/>
    <mergeCell ref="H39:I39"/>
    <mergeCell ref="H54:J54"/>
    <mergeCell ref="W45:X45"/>
    <mergeCell ref="Y89:AB89"/>
    <mergeCell ref="H70:J70"/>
    <mergeCell ref="W59:X59"/>
    <mergeCell ref="Y74:AB74"/>
    <mergeCell ref="Y77:AB77"/>
    <mergeCell ref="W70:X70"/>
    <mergeCell ref="W71:X71"/>
    <mergeCell ref="W74:X74"/>
    <mergeCell ref="W88:X88"/>
    <mergeCell ref="W89:X89"/>
    <mergeCell ref="H65:J65"/>
    <mergeCell ref="M65:O65"/>
    <mergeCell ref="Y70:AB70"/>
    <mergeCell ref="Y71:AB71"/>
    <mergeCell ref="Y80:AB80"/>
    <mergeCell ref="Y88:AB88"/>
    <mergeCell ref="W77:X77"/>
    <mergeCell ref="Y64:AB64"/>
    <mergeCell ref="Y69:AB69"/>
    <mergeCell ref="Y59:AB59"/>
    <mergeCell ref="Y60:AB60"/>
    <mergeCell ref="Y61:AB61"/>
    <mergeCell ref="Y83:AB83"/>
    <mergeCell ref="Y87:AB87"/>
    <mergeCell ref="Y65:AB65"/>
    <mergeCell ref="Y66:AB66"/>
    <mergeCell ref="W51:X51"/>
    <mergeCell ref="M60:O60"/>
    <mergeCell ref="W42:X42"/>
    <mergeCell ref="M59:O59"/>
    <mergeCell ref="I59:K59"/>
    <mergeCell ref="W48:X48"/>
    <mergeCell ref="P59:V59"/>
    <mergeCell ref="P60:V60"/>
    <mergeCell ref="C63:V63"/>
    <mergeCell ref="C44:X44"/>
    <mergeCell ref="H55:J55"/>
    <mergeCell ref="M55:O55"/>
    <mergeCell ref="P55:V55"/>
    <mergeCell ref="W55:X55"/>
    <mergeCell ref="M64:O64"/>
    <mergeCell ref="H60:J60"/>
    <mergeCell ref="C64:G64"/>
    <mergeCell ref="C59:G59"/>
    <mergeCell ref="C60:G60"/>
    <mergeCell ref="Y55:AB55"/>
    <mergeCell ref="Y56:AB56"/>
    <mergeCell ref="Y45:AB45"/>
    <mergeCell ref="AB4:AE4"/>
    <mergeCell ref="Q4:S4"/>
    <mergeCell ref="U4:X4"/>
    <mergeCell ref="A4:O4"/>
    <mergeCell ref="O1:AE1"/>
    <mergeCell ref="P2:R2"/>
    <mergeCell ref="T2:W2"/>
    <mergeCell ref="Y2:AE2"/>
    <mergeCell ref="P3:AE3"/>
    <mergeCell ref="Y4:AA4"/>
    <mergeCell ref="A5:G5"/>
    <mergeCell ref="H5:N5"/>
    <mergeCell ref="H17:U17"/>
    <mergeCell ref="A20:G20"/>
    <mergeCell ref="A15:G15"/>
    <mergeCell ref="H15:X15"/>
    <mergeCell ref="A16:G16"/>
    <mergeCell ref="H16:X16"/>
    <mergeCell ref="K1:N1"/>
    <mergeCell ref="K2:N3"/>
    <mergeCell ref="A7:G7"/>
    <mergeCell ref="W5:AE5"/>
    <mergeCell ref="H6:AE6"/>
    <mergeCell ref="AB7:AD7"/>
    <mergeCell ref="A6:G6"/>
    <mergeCell ref="O5:V5"/>
    <mergeCell ref="H7:I7"/>
    <mergeCell ref="K7:M7"/>
    <mergeCell ref="N7:P7"/>
    <mergeCell ref="Q7:T7"/>
    <mergeCell ref="U7:X7"/>
    <mergeCell ref="N12:O12"/>
    <mergeCell ref="Q12:R12"/>
    <mergeCell ref="Y9:AE9"/>
    <mergeCell ref="A11:G11"/>
    <mergeCell ref="H13:X13"/>
    <mergeCell ref="Y11:AE11"/>
    <mergeCell ref="Y12:AE12"/>
    <mergeCell ref="Y13:AE13"/>
    <mergeCell ref="A10:G10"/>
    <mergeCell ref="A9:G9"/>
    <mergeCell ref="S11:X11"/>
    <mergeCell ref="H11:Q11"/>
    <mergeCell ref="A17:G17"/>
    <mergeCell ref="S27:X27"/>
    <mergeCell ref="H28:M28"/>
    <mergeCell ref="H29:M29"/>
    <mergeCell ref="N28:O28"/>
    <mergeCell ref="N29:O29"/>
    <mergeCell ref="Q28:R28"/>
    <mergeCell ref="A26:G26"/>
    <mergeCell ref="H26:X26"/>
    <mergeCell ref="A27:G27"/>
    <mergeCell ref="H24:U24"/>
    <mergeCell ref="H27:M27"/>
    <mergeCell ref="N27:O27"/>
    <mergeCell ref="Q27:R27"/>
    <mergeCell ref="A36:V36"/>
    <mergeCell ref="C37:V37"/>
    <mergeCell ref="Y37:AB37"/>
    <mergeCell ref="C38:Q38"/>
    <mergeCell ref="A19:G19"/>
    <mergeCell ref="H19:X19"/>
    <mergeCell ref="A29:G29"/>
    <mergeCell ref="A24:G24"/>
    <mergeCell ref="V24:X24"/>
    <mergeCell ref="Y24:AE24"/>
    <mergeCell ref="Y29:AE29"/>
    <mergeCell ref="Y19:AE19"/>
    <mergeCell ref="A28:G28"/>
    <mergeCell ref="Y27:AE27"/>
    <mergeCell ref="Y20:AE20"/>
    <mergeCell ref="Y21:AE21"/>
    <mergeCell ref="Y22:AE22"/>
    <mergeCell ref="Y23:AE23"/>
    <mergeCell ref="A22:G22"/>
    <mergeCell ref="H22:M22"/>
    <mergeCell ref="N22:O22"/>
    <mergeCell ref="P22:X22"/>
  </mergeCells>
  <phoneticPr fontId="2"/>
  <dataValidations count="2">
    <dataValidation type="list" allowBlank="1" showInputMessage="1" showErrorMessage="1" sqref="R11 R20 T29 R38 O2:O3 S2 X2 P4 T4" xr:uid="{3742E6B3-2136-4534-8C0B-4E3893768B05}">
      <formula1>"□,■"</formula1>
    </dataValidation>
    <dataValidation type="list" allowBlank="1" showInputMessage="1" showErrorMessage="1" sqref="T30" xr:uid="{34E348BA-3B9B-49F8-A3F8-CB724F3FFD25}">
      <formula1>"　,○"</formula1>
    </dataValidation>
  </dataValidations>
  <printOptions horizontalCentered="1"/>
  <pageMargins left="0.62992125984251968" right="0.23622047244094491" top="0.35433070866141736" bottom="0.55118110236220474" header="0.31496062992125984" footer="0.31496062992125984"/>
  <pageSetup paperSize="9" scale="71" orientation="portrait" cellComments="asDisplayed" horizontalDpi="1200" verticalDpi="1200" r:id="rId2"/>
  <headerFooter alignWithMargins="0">
    <oddFooter>&amp;R20250822</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H59"/>
  <sheetViews>
    <sheetView view="pageBreakPreview" zoomScale="80" zoomScaleNormal="70" zoomScaleSheetLayoutView="80" workbookViewId="0"/>
  </sheetViews>
  <sheetFormatPr defaultColWidth="8.75" defaultRowHeight="13.5" x14ac:dyDescent="0.15"/>
  <cols>
    <col min="1" max="34" width="3.625" style="86" customWidth="1"/>
    <col min="35" max="16384" width="8.75" style="86"/>
  </cols>
  <sheetData>
    <row r="1" spans="1:34" ht="19.149999999999999" customHeight="1" x14ac:dyDescent="0.15">
      <c r="A1" s="48" t="s">
        <v>431</v>
      </c>
      <c r="F1" s="87"/>
      <c r="G1" s="87"/>
      <c r="P1" s="271" t="s">
        <v>24</v>
      </c>
      <c r="Q1" s="272"/>
      <c r="R1" s="273"/>
      <c r="S1" s="258" t="str">
        <f>IF(YC書式522_経費内訳書・再生医療!O1="","",YC書式522_経費内訳書・再生医療!O1)</f>
        <v/>
      </c>
      <c r="T1" s="259"/>
      <c r="U1" s="259"/>
      <c r="V1" s="259"/>
      <c r="W1" s="259"/>
      <c r="X1" s="259"/>
      <c r="Y1" s="259"/>
      <c r="Z1" s="259"/>
      <c r="AA1" s="259"/>
      <c r="AB1" s="259"/>
      <c r="AC1" s="259"/>
      <c r="AD1" s="259"/>
      <c r="AE1" s="259"/>
      <c r="AF1" s="259"/>
      <c r="AG1" s="259"/>
      <c r="AH1" s="260"/>
    </row>
    <row r="2" spans="1:34" ht="12.95" customHeight="1" x14ac:dyDescent="0.15">
      <c r="A2" s="90"/>
      <c r="F2" s="87"/>
      <c r="G2" s="87"/>
      <c r="P2" s="261" t="s">
        <v>74</v>
      </c>
      <c r="Q2" s="262"/>
      <c r="R2" s="263"/>
      <c r="S2" s="88" t="str">
        <f>YC書式522_経費内訳書・再生医療!O2</f>
        <v>■</v>
      </c>
      <c r="T2" s="267" t="str">
        <f>YC書式522_経費内訳書・再生医療!P2</f>
        <v>治験</v>
      </c>
      <c r="U2" s="267"/>
      <c r="V2" s="267"/>
      <c r="W2" s="89" t="str">
        <f>YC書式522_経費内訳書・再生医療!S2</f>
        <v>□</v>
      </c>
      <c r="X2" s="267" t="str">
        <f>YC書式522_経費内訳書・再生医療!T2</f>
        <v>拡大治験</v>
      </c>
      <c r="Y2" s="267"/>
      <c r="Z2" s="267"/>
      <c r="AA2" s="267"/>
      <c r="AB2" s="89" t="str">
        <f>YC書式522_経費内訳書・再生医療!X2</f>
        <v>□</v>
      </c>
      <c r="AC2" s="267" t="str">
        <f>YC書式522_経費内訳書・再生医療!Y2</f>
        <v>製造販売後臨床試験</v>
      </c>
      <c r="AD2" s="267"/>
      <c r="AE2" s="267"/>
      <c r="AF2" s="267"/>
      <c r="AG2" s="267"/>
      <c r="AH2" s="268"/>
    </row>
    <row r="3" spans="1:34" ht="12.95" customHeight="1" x14ac:dyDescent="0.15">
      <c r="A3" s="90"/>
      <c r="F3" s="87"/>
      <c r="G3" s="87"/>
      <c r="P3" s="264"/>
      <c r="Q3" s="265"/>
      <c r="R3" s="266"/>
      <c r="S3" s="89" t="str">
        <f>YC書式522_経費内訳書・再生医療!O3</f>
        <v>■</v>
      </c>
      <c r="T3" s="267" t="str">
        <f>YC書式522_経費内訳書・再生医療!P3</f>
        <v>再生医療等製品</v>
      </c>
      <c r="U3" s="267"/>
      <c r="V3" s="267"/>
      <c r="W3" s="267"/>
      <c r="X3" s="267"/>
      <c r="Y3" s="267"/>
      <c r="Z3" s="267"/>
      <c r="AA3" s="267"/>
      <c r="AB3" s="267"/>
      <c r="AC3" s="267"/>
      <c r="AD3" s="267"/>
      <c r="AE3" s="267"/>
      <c r="AF3" s="267"/>
      <c r="AG3" s="267"/>
      <c r="AH3" s="268"/>
    </row>
    <row r="4" spans="1:34" x14ac:dyDescent="0.15">
      <c r="A4" s="90"/>
      <c r="F4" s="87"/>
      <c r="G4" s="87"/>
      <c r="U4" s="121" t="str">
        <f>YC書式522_経費内訳書・再生医療!P4</f>
        <v>■</v>
      </c>
      <c r="V4" s="488" t="s">
        <v>155</v>
      </c>
      <c r="W4" s="488"/>
      <c r="X4" s="488"/>
      <c r="Y4" s="121" t="str">
        <f>YC書式522_経費内訳書・再生医療!T4</f>
        <v>□</v>
      </c>
      <c r="Z4" s="488" t="s">
        <v>156</v>
      </c>
      <c r="AA4" s="488"/>
      <c r="AB4" s="488"/>
      <c r="AC4" s="488"/>
      <c r="AD4" s="487" t="s">
        <v>202</v>
      </c>
      <c r="AE4" s="487"/>
      <c r="AF4" s="486" t="str">
        <f>YC書式522_経費内訳書・再生医療!AB4</f>
        <v>202●/●/●</v>
      </c>
      <c r="AG4" s="487"/>
      <c r="AH4" s="487"/>
    </row>
    <row r="5" spans="1:34" s="59" customFormat="1" ht="25.5" customHeight="1" x14ac:dyDescent="0.15">
      <c r="A5" s="280" t="s">
        <v>260</v>
      </c>
      <c r="B5" s="280"/>
      <c r="C5" s="280"/>
      <c r="D5" s="280"/>
      <c r="E5" s="280"/>
      <c r="F5" s="280"/>
      <c r="G5" s="280"/>
      <c r="H5" s="279" t="str">
        <f>IF(YC書式522_経費内訳書・再生医療!H5="","",YC書式522_経費内訳書・再生医療!H5)</f>
        <v/>
      </c>
      <c r="I5" s="279"/>
      <c r="J5" s="279"/>
      <c r="K5" s="279"/>
      <c r="L5" s="279"/>
      <c r="M5" s="279"/>
      <c r="N5" s="279"/>
      <c r="O5" s="279"/>
      <c r="P5" s="279"/>
      <c r="Q5" s="279"/>
      <c r="R5" s="257" t="s">
        <v>26</v>
      </c>
      <c r="S5" s="257"/>
      <c r="T5" s="257"/>
      <c r="U5" s="257"/>
      <c r="V5" s="257"/>
      <c r="W5" s="257"/>
      <c r="X5" s="257"/>
      <c r="Y5" s="513" t="str">
        <f>IF(YC書式522_経費内訳書・再生医療!W5="","",YC書式522_経費内訳書・再生医療!W5)</f>
        <v/>
      </c>
      <c r="Z5" s="513"/>
      <c r="AA5" s="513"/>
      <c r="AB5" s="513"/>
      <c r="AC5" s="513"/>
      <c r="AD5" s="513"/>
      <c r="AE5" s="513"/>
      <c r="AF5" s="513"/>
      <c r="AG5" s="513"/>
      <c r="AH5" s="513"/>
    </row>
    <row r="6" spans="1:34" s="59" customFormat="1" ht="34.5" customHeight="1" x14ac:dyDescent="0.15">
      <c r="A6" s="154" t="s">
        <v>0</v>
      </c>
      <c r="B6" s="154"/>
      <c r="C6" s="154"/>
      <c r="D6" s="154"/>
      <c r="E6" s="154"/>
      <c r="F6" s="154"/>
      <c r="G6" s="154"/>
      <c r="H6" s="209" t="str">
        <f>IF(YC書式522_経費内訳書・再生医療!H6="","",YC書式522_経費内訳書・再生医療!H6)</f>
        <v>テスト</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row>
    <row r="7" spans="1:34" x14ac:dyDescent="0.15">
      <c r="A7" s="90"/>
      <c r="F7" s="87"/>
      <c r="G7" s="87"/>
    </row>
    <row r="8" spans="1:34" ht="19.350000000000001" customHeight="1" x14ac:dyDescent="0.15">
      <c r="A8" s="490" t="s">
        <v>216</v>
      </c>
      <c r="B8" s="490"/>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row>
    <row r="9" spans="1:34" x14ac:dyDescent="0.15">
      <c r="A9" s="123"/>
      <c r="B9" s="64"/>
      <c r="C9" s="64"/>
      <c r="D9" s="64"/>
      <c r="E9" s="64"/>
      <c r="F9" s="64"/>
      <c r="G9" s="64"/>
      <c r="H9" s="64"/>
      <c r="I9" s="64"/>
      <c r="J9" s="64"/>
      <c r="K9" s="64"/>
      <c r="L9" s="64"/>
      <c r="M9" s="64"/>
      <c r="N9" s="64"/>
      <c r="O9" s="64"/>
      <c r="P9" s="64"/>
      <c r="Q9" s="124"/>
      <c r="R9" s="123"/>
      <c r="S9" s="123"/>
      <c r="T9" s="123"/>
      <c r="U9" s="124"/>
      <c r="V9" s="123"/>
      <c r="W9" s="123"/>
      <c r="X9" s="123"/>
      <c r="Y9" s="125"/>
      <c r="Z9" s="125"/>
      <c r="AA9" s="125"/>
      <c r="AB9" s="125"/>
      <c r="AC9" s="125"/>
      <c r="AD9" s="125"/>
    </row>
    <row r="10" spans="1:34" ht="39" customHeight="1" x14ac:dyDescent="0.15">
      <c r="A10" s="291" t="s">
        <v>168</v>
      </c>
      <c r="B10" s="291"/>
      <c r="C10" s="291"/>
      <c r="D10" s="291"/>
      <c r="E10" s="291"/>
      <c r="F10" s="291"/>
      <c r="G10" s="291" t="s">
        <v>171</v>
      </c>
      <c r="H10" s="291"/>
      <c r="I10" s="291"/>
      <c r="J10" s="291"/>
      <c r="K10" s="489" t="s">
        <v>175</v>
      </c>
      <c r="L10" s="489"/>
      <c r="M10" s="489"/>
      <c r="N10" s="489"/>
      <c r="O10" s="489"/>
      <c r="P10" s="291" t="s">
        <v>170</v>
      </c>
      <c r="Q10" s="291"/>
      <c r="R10" s="291"/>
      <c r="S10" s="291"/>
      <c r="T10" s="291"/>
      <c r="U10" s="291" t="s">
        <v>177</v>
      </c>
      <c r="V10" s="291"/>
      <c r="W10" s="291"/>
      <c r="X10" s="489" t="s">
        <v>178</v>
      </c>
      <c r="Y10" s="489"/>
      <c r="Z10" s="489"/>
      <c r="AA10" s="489"/>
      <c r="AB10" s="291" t="s">
        <v>169</v>
      </c>
      <c r="AC10" s="291"/>
      <c r="AD10" s="291"/>
      <c r="AE10" s="489" t="s">
        <v>179</v>
      </c>
      <c r="AF10" s="291"/>
      <c r="AG10" s="291"/>
      <c r="AH10" s="291"/>
    </row>
    <row r="11" spans="1:34" ht="13.15" customHeight="1" x14ac:dyDescent="0.15">
      <c r="A11" s="514" t="s">
        <v>416</v>
      </c>
      <c r="B11" s="515"/>
      <c r="C11" s="515"/>
      <c r="D11" s="515"/>
      <c r="E11" s="515"/>
      <c r="F11" s="516"/>
      <c r="G11" s="9"/>
      <c r="H11" s="482" t="s">
        <v>172</v>
      </c>
      <c r="I11" s="482"/>
      <c r="J11" s="483"/>
      <c r="K11" s="523" t="s">
        <v>417</v>
      </c>
      <c r="L11" s="524"/>
      <c r="M11" s="524"/>
      <c r="N11" s="524"/>
      <c r="O11" s="525"/>
      <c r="P11" s="491" t="s">
        <v>418</v>
      </c>
      <c r="Q11" s="492"/>
      <c r="R11" s="492"/>
      <c r="S11" s="492"/>
      <c r="T11" s="493"/>
      <c r="U11" s="491" t="s">
        <v>419</v>
      </c>
      <c r="V11" s="492"/>
      <c r="W11" s="493"/>
      <c r="X11" s="500">
        <v>12000</v>
      </c>
      <c r="Y11" s="501"/>
      <c r="Z11" s="501"/>
      <c r="AA11" s="502"/>
      <c r="AB11" s="541">
        <v>1</v>
      </c>
      <c r="AC11" s="542"/>
      <c r="AD11" s="543"/>
      <c r="AE11" s="532">
        <f>IF(OR(X11="",AB11=""),"",X11*AB11)</f>
        <v>12000</v>
      </c>
      <c r="AF11" s="533"/>
      <c r="AG11" s="533"/>
      <c r="AH11" s="534"/>
    </row>
    <row r="12" spans="1:34" x14ac:dyDescent="0.15">
      <c r="A12" s="517"/>
      <c r="B12" s="518"/>
      <c r="C12" s="518"/>
      <c r="D12" s="518"/>
      <c r="E12" s="518"/>
      <c r="F12" s="519"/>
      <c r="G12" s="10"/>
      <c r="H12" s="509" t="s">
        <v>173</v>
      </c>
      <c r="I12" s="509"/>
      <c r="J12" s="510"/>
      <c r="K12" s="526"/>
      <c r="L12" s="527"/>
      <c r="M12" s="527"/>
      <c r="N12" s="527"/>
      <c r="O12" s="528"/>
      <c r="P12" s="494"/>
      <c r="Q12" s="495"/>
      <c r="R12" s="495"/>
      <c r="S12" s="495"/>
      <c r="T12" s="496"/>
      <c r="U12" s="494"/>
      <c r="V12" s="495"/>
      <c r="W12" s="496"/>
      <c r="X12" s="503"/>
      <c r="Y12" s="504"/>
      <c r="Z12" s="504"/>
      <c r="AA12" s="505"/>
      <c r="AB12" s="544"/>
      <c r="AC12" s="545"/>
      <c r="AD12" s="546"/>
      <c r="AE12" s="535"/>
      <c r="AF12" s="536"/>
      <c r="AG12" s="536"/>
      <c r="AH12" s="537"/>
    </row>
    <row r="13" spans="1:34" x14ac:dyDescent="0.15">
      <c r="A13" s="517"/>
      <c r="B13" s="518"/>
      <c r="C13" s="518"/>
      <c r="D13" s="518"/>
      <c r="E13" s="518"/>
      <c r="F13" s="519"/>
      <c r="G13" s="10"/>
      <c r="H13" s="509" t="s">
        <v>174</v>
      </c>
      <c r="I13" s="509"/>
      <c r="J13" s="510"/>
      <c r="K13" s="526"/>
      <c r="L13" s="527"/>
      <c r="M13" s="527"/>
      <c r="N13" s="527"/>
      <c r="O13" s="528"/>
      <c r="P13" s="494"/>
      <c r="Q13" s="495"/>
      <c r="R13" s="495"/>
      <c r="S13" s="495"/>
      <c r="T13" s="496"/>
      <c r="U13" s="494"/>
      <c r="V13" s="495"/>
      <c r="W13" s="496"/>
      <c r="X13" s="503"/>
      <c r="Y13" s="504"/>
      <c r="Z13" s="504"/>
      <c r="AA13" s="505"/>
      <c r="AB13" s="544"/>
      <c r="AC13" s="545"/>
      <c r="AD13" s="546"/>
      <c r="AE13" s="535"/>
      <c r="AF13" s="536"/>
      <c r="AG13" s="536"/>
      <c r="AH13" s="537"/>
    </row>
    <row r="14" spans="1:34" x14ac:dyDescent="0.15">
      <c r="A14" s="520"/>
      <c r="B14" s="521"/>
      <c r="C14" s="521"/>
      <c r="D14" s="521"/>
      <c r="E14" s="521"/>
      <c r="F14" s="522"/>
      <c r="G14" s="11"/>
      <c r="H14" s="511" t="s">
        <v>176</v>
      </c>
      <c r="I14" s="511"/>
      <c r="J14" s="512"/>
      <c r="K14" s="529"/>
      <c r="L14" s="530"/>
      <c r="M14" s="530"/>
      <c r="N14" s="530"/>
      <c r="O14" s="531"/>
      <c r="P14" s="497"/>
      <c r="Q14" s="498"/>
      <c r="R14" s="498"/>
      <c r="S14" s="498"/>
      <c r="T14" s="499"/>
      <c r="U14" s="497"/>
      <c r="V14" s="498"/>
      <c r="W14" s="499"/>
      <c r="X14" s="506"/>
      <c r="Y14" s="507"/>
      <c r="Z14" s="507"/>
      <c r="AA14" s="508"/>
      <c r="AB14" s="547"/>
      <c r="AC14" s="548"/>
      <c r="AD14" s="549"/>
      <c r="AE14" s="538"/>
      <c r="AF14" s="539"/>
      <c r="AG14" s="539"/>
      <c r="AH14" s="540"/>
    </row>
    <row r="15" spans="1:34" x14ac:dyDescent="0.15">
      <c r="A15" s="471"/>
      <c r="B15" s="471"/>
      <c r="C15" s="471"/>
      <c r="D15" s="471"/>
      <c r="E15" s="471"/>
      <c r="F15" s="471"/>
      <c r="G15" s="9"/>
      <c r="H15" s="482" t="s">
        <v>172</v>
      </c>
      <c r="I15" s="482"/>
      <c r="J15" s="483"/>
      <c r="K15" s="471"/>
      <c r="L15" s="471"/>
      <c r="M15" s="471"/>
      <c r="N15" s="471"/>
      <c r="O15" s="471"/>
      <c r="P15" s="471"/>
      <c r="Q15" s="471"/>
      <c r="R15" s="471"/>
      <c r="S15" s="471"/>
      <c r="T15" s="471"/>
      <c r="U15" s="471"/>
      <c r="V15" s="471"/>
      <c r="W15" s="471"/>
      <c r="X15" s="472"/>
      <c r="Y15" s="472"/>
      <c r="Z15" s="472"/>
      <c r="AA15" s="472"/>
      <c r="AB15" s="473"/>
      <c r="AC15" s="474"/>
      <c r="AD15" s="475"/>
      <c r="AE15" s="532" t="str">
        <f>IF(OR(X15="",AB15=""),"",X15*AB15)</f>
        <v/>
      </c>
      <c r="AF15" s="533"/>
      <c r="AG15" s="533"/>
      <c r="AH15" s="534"/>
    </row>
    <row r="16" spans="1:34" x14ac:dyDescent="0.15">
      <c r="A16" s="471"/>
      <c r="B16" s="471"/>
      <c r="C16" s="471"/>
      <c r="D16" s="471"/>
      <c r="E16" s="471"/>
      <c r="F16" s="471"/>
      <c r="G16" s="10"/>
      <c r="H16" s="509" t="s">
        <v>173</v>
      </c>
      <c r="I16" s="509"/>
      <c r="J16" s="510"/>
      <c r="K16" s="471"/>
      <c r="L16" s="471"/>
      <c r="M16" s="471"/>
      <c r="N16" s="471"/>
      <c r="O16" s="471"/>
      <c r="P16" s="471"/>
      <c r="Q16" s="471"/>
      <c r="R16" s="471"/>
      <c r="S16" s="471"/>
      <c r="T16" s="471"/>
      <c r="U16" s="471"/>
      <c r="V16" s="471"/>
      <c r="W16" s="471"/>
      <c r="X16" s="472"/>
      <c r="Y16" s="472"/>
      <c r="Z16" s="472"/>
      <c r="AA16" s="472"/>
      <c r="AB16" s="476"/>
      <c r="AC16" s="477"/>
      <c r="AD16" s="478"/>
      <c r="AE16" s="535"/>
      <c r="AF16" s="536"/>
      <c r="AG16" s="536"/>
      <c r="AH16" s="537"/>
    </row>
    <row r="17" spans="1:34" x14ac:dyDescent="0.15">
      <c r="A17" s="471"/>
      <c r="B17" s="471"/>
      <c r="C17" s="471"/>
      <c r="D17" s="471"/>
      <c r="E17" s="471"/>
      <c r="F17" s="471"/>
      <c r="G17" s="10"/>
      <c r="H17" s="509" t="s">
        <v>174</v>
      </c>
      <c r="I17" s="509"/>
      <c r="J17" s="510"/>
      <c r="K17" s="471"/>
      <c r="L17" s="471"/>
      <c r="M17" s="471"/>
      <c r="N17" s="471"/>
      <c r="O17" s="471"/>
      <c r="P17" s="471"/>
      <c r="Q17" s="471"/>
      <c r="R17" s="471"/>
      <c r="S17" s="471"/>
      <c r="T17" s="471"/>
      <c r="U17" s="471"/>
      <c r="V17" s="471"/>
      <c r="W17" s="471"/>
      <c r="X17" s="472"/>
      <c r="Y17" s="472"/>
      <c r="Z17" s="472"/>
      <c r="AA17" s="472"/>
      <c r="AB17" s="476"/>
      <c r="AC17" s="477"/>
      <c r="AD17" s="478"/>
      <c r="AE17" s="535"/>
      <c r="AF17" s="536"/>
      <c r="AG17" s="536"/>
      <c r="AH17" s="537"/>
    </row>
    <row r="18" spans="1:34" x14ac:dyDescent="0.15">
      <c r="A18" s="471"/>
      <c r="B18" s="471"/>
      <c r="C18" s="471"/>
      <c r="D18" s="471"/>
      <c r="E18" s="471"/>
      <c r="F18" s="471"/>
      <c r="G18" s="11"/>
      <c r="H18" s="511" t="s">
        <v>176</v>
      </c>
      <c r="I18" s="511"/>
      <c r="J18" s="512"/>
      <c r="K18" s="471"/>
      <c r="L18" s="471"/>
      <c r="M18" s="471"/>
      <c r="N18" s="471"/>
      <c r="O18" s="471"/>
      <c r="P18" s="471"/>
      <c r="Q18" s="471"/>
      <c r="R18" s="471"/>
      <c r="S18" s="471"/>
      <c r="T18" s="471"/>
      <c r="U18" s="471"/>
      <c r="V18" s="471"/>
      <c r="W18" s="471"/>
      <c r="X18" s="472"/>
      <c r="Y18" s="472"/>
      <c r="Z18" s="472"/>
      <c r="AA18" s="472"/>
      <c r="AB18" s="479"/>
      <c r="AC18" s="480"/>
      <c r="AD18" s="481"/>
      <c r="AE18" s="538"/>
      <c r="AF18" s="539"/>
      <c r="AG18" s="539"/>
      <c r="AH18" s="540"/>
    </row>
    <row r="19" spans="1:34" x14ac:dyDescent="0.15">
      <c r="A19" s="471"/>
      <c r="B19" s="471"/>
      <c r="C19" s="471"/>
      <c r="D19" s="471"/>
      <c r="E19" s="471"/>
      <c r="F19" s="471"/>
      <c r="G19" s="9"/>
      <c r="H19" s="482" t="s">
        <v>172</v>
      </c>
      <c r="I19" s="482"/>
      <c r="J19" s="483"/>
      <c r="K19" s="471"/>
      <c r="L19" s="471"/>
      <c r="M19" s="471"/>
      <c r="N19" s="471"/>
      <c r="O19" s="471"/>
      <c r="P19" s="471"/>
      <c r="Q19" s="471"/>
      <c r="R19" s="471"/>
      <c r="S19" s="471"/>
      <c r="T19" s="471"/>
      <c r="U19" s="471"/>
      <c r="V19" s="471"/>
      <c r="W19" s="471"/>
      <c r="X19" s="472"/>
      <c r="Y19" s="472"/>
      <c r="Z19" s="472"/>
      <c r="AA19" s="472"/>
      <c r="AB19" s="473"/>
      <c r="AC19" s="474"/>
      <c r="AD19" s="475"/>
      <c r="AE19" s="532" t="str">
        <f>IF(OR(X19="",AB19=""),"",X19*AB19)</f>
        <v/>
      </c>
      <c r="AF19" s="533"/>
      <c r="AG19" s="533"/>
      <c r="AH19" s="534"/>
    </row>
    <row r="20" spans="1:34" x14ac:dyDescent="0.15">
      <c r="A20" s="471"/>
      <c r="B20" s="471"/>
      <c r="C20" s="471"/>
      <c r="D20" s="471"/>
      <c r="E20" s="471"/>
      <c r="F20" s="471"/>
      <c r="G20" s="10"/>
      <c r="H20" s="509" t="s">
        <v>173</v>
      </c>
      <c r="I20" s="509"/>
      <c r="J20" s="510"/>
      <c r="K20" s="471"/>
      <c r="L20" s="471"/>
      <c r="M20" s="471"/>
      <c r="N20" s="471"/>
      <c r="O20" s="471"/>
      <c r="P20" s="471"/>
      <c r="Q20" s="471"/>
      <c r="R20" s="471"/>
      <c r="S20" s="471"/>
      <c r="T20" s="471"/>
      <c r="U20" s="471"/>
      <c r="V20" s="471"/>
      <c r="W20" s="471"/>
      <c r="X20" s="472"/>
      <c r="Y20" s="472"/>
      <c r="Z20" s="472"/>
      <c r="AA20" s="472"/>
      <c r="AB20" s="476"/>
      <c r="AC20" s="477"/>
      <c r="AD20" s="478"/>
      <c r="AE20" s="535"/>
      <c r="AF20" s="536"/>
      <c r="AG20" s="536"/>
      <c r="AH20" s="537"/>
    </row>
    <row r="21" spans="1:34" x14ac:dyDescent="0.15">
      <c r="A21" s="471"/>
      <c r="B21" s="471"/>
      <c r="C21" s="471"/>
      <c r="D21" s="471"/>
      <c r="E21" s="471"/>
      <c r="F21" s="471"/>
      <c r="G21" s="10"/>
      <c r="H21" s="509" t="s">
        <v>174</v>
      </c>
      <c r="I21" s="509"/>
      <c r="J21" s="510"/>
      <c r="K21" s="471"/>
      <c r="L21" s="471"/>
      <c r="M21" s="471"/>
      <c r="N21" s="471"/>
      <c r="O21" s="471"/>
      <c r="P21" s="471"/>
      <c r="Q21" s="471"/>
      <c r="R21" s="471"/>
      <c r="S21" s="471"/>
      <c r="T21" s="471"/>
      <c r="U21" s="471"/>
      <c r="V21" s="471"/>
      <c r="W21" s="471"/>
      <c r="X21" s="472"/>
      <c r="Y21" s="472"/>
      <c r="Z21" s="472"/>
      <c r="AA21" s="472"/>
      <c r="AB21" s="476"/>
      <c r="AC21" s="477"/>
      <c r="AD21" s="478"/>
      <c r="AE21" s="535"/>
      <c r="AF21" s="536"/>
      <c r="AG21" s="536"/>
      <c r="AH21" s="537"/>
    </row>
    <row r="22" spans="1:34" x14ac:dyDescent="0.15">
      <c r="A22" s="471"/>
      <c r="B22" s="471"/>
      <c r="C22" s="471"/>
      <c r="D22" s="471"/>
      <c r="E22" s="471"/>
      <c r="F22" s="471"/>
      <c r="G22" s="11"/>
      <c r="H22" s="511" t="s">
        <v>176</v>
      </c>
      <c r="I22" s="511"/>
      <c r="J22" s="512"/>
      <c r="K22" s="471"/>
      <c r="L22" s="471"/>
      <c r="M22" s="471"/>
      <c r="N22" s="471"/>
      <c r="O22" s="471"/>
      <c r="P22" s="471"/>
      <c r="Q22" s="471"/>
      <c r="R22" s="471"/>
      <c r="S22" s="471"/>
      <c r="T22" s="471"/>
      <c r="U22" s="471"/>
      <c r="V22" s="471"/>
      <c r="W22" s="471"/>
      <c r="X22" s="472"/>
      <c r="Y22" s="472"/>
      <c r="Z22" s="472"/>
      <c r="AA22" s="472"/>
      <c r="AB22" s="479"/>
      <c r="AC22" s="480"/>
      <c r="AD22" s="481"/>
      <c r="AE22" s="538"/>
      <c r="AF22" s="539"/>
      <c r="AG22" s="539"/>
      <c r="AH22" s="540"/>
    </row>
    <row r="23" spans="1:34" x14ac:dyDescent="0.15">
      <c r="A23" s="471"/>
      <c r="B23" s="471"/>
      <c r="C23" s="471"/>
      <c r="D23" s="471"/>
      <c r="E23" s="471"/>
      <c r="F23" s="471"/>
      <c r="G23" s="9"/>
      <c r="H23" s="482" t="s">
        <v>172</v>
      </c>
      <c r="I23" s="482"/>
      <c r="J23" s="483"/>
      <c r="K23" s="471"/>
      <c r="L23" s="471"/>
      <c r="M23" s="471"/>
      <c r="N23" s="471"/>
      <c r="O23" s="471"/>
      <c r="P23" s="471"/>
      <c r="Q23" s="471"/>
      <c r="R23" s="471"/>
      <c r="S23" s="471"/>
      <c r="T23" s="471"/>
      <c r="U23" s="471"/>
      <c r="V23" s="471"/>
      <c r="W23" s="471"/>
      <c r="X23" s="472"/>
      <c r="Y23" s="472"/>
      <c r="Z23" s="472"/>
      <c r="AA23" s="472"/>
      <c r="AB23" s="473"/>
      <c r="AC23" s="474"/>
      <c r="AD23" s="475"/>
      <c r="AE23" s="532" t="str">
        <f>IF(OR(X23="",AB23=""),"",X23*AB23)</f>
        <v/>
      </c>
      <c r="AF23" s="533"/>
      <c r="AG23" s="533"/>
      <c r="AH23" s="534"/>
    </row>
    <row r="24" spans="1:34" x14ac:dyDescent="0.15">
      <c r="A24" s="471"/>
      <c r="B24" s="471"/>
      <c r="C24" s="471"/>
      <c r="D24" s="471"/>
      <c r="E24" s="471"/>
      <c r="F24" s="471"/>
      <c r="G24" s="10"/>
      <c r="H24" s="509" t="s">
        <v>173</v>
      </c>
      <c r="I24" s="509"/>
      <c r="J24" s="510"/>
      <c r="K24" s="471"/>
      <c r="L24" s="471"/>
      <c r="M24" s="471"/>
      <c r="N24" s="471"/>
      <c r="O24" s="471"/>
      <c r="P24" s="471"/>
      <c r="Q24" s="471"/>
      <c r="R24" s="471"/>
      <c r="S24" s="471"/>
      <c r="T24" s="471"/>
      <c r="U24" s="471"/>
      <c r="V24" s="471"/>
      <c r="W24" s="471"/>
      <c r="X24" s="472"/>
      <c r="Y24" s="472"/>
      <c r="Z24" s="472"/>
      <c r="AA24" s="472"/>
      <c r="AB24" s="476"/>
      <c r="AC24" s="477"/>
      <c r="AD24" s="478"/>
      <c r="AE24" s="535"/>
      <c r="AF24" s="536"/>
      <c r="AG24" s="536"/>
      <c r="AH24" s="537"/>
    </row>
    <row r="25" spans="1:34" x14ac:dyDescent="0.15">
      <c r="A25" s="471"/>
      <c r="B25" s="471"/>
      <c r="C25" s="471"/>
      <c r="D25" s="471"/>
      <c r="E25" s="471"/>
      <c r="F25" s="471"/>
      <c r="G25" s="10"/>
      <c r="H25" s="509" t="s">
        <v>174</v>
      </c>
      <c r="I25" s="509"/>
      <c r="J25" s="510"/>
      <c r="K25" s="471"/>
      <c r="L25" s="471"/>
      <c r="M25" s="471"/>
      <c r="N25" s="471"/>
      <c r="O25" s="471"/>
      <c r="P25" s="471"/>
      <c r="Q25" s="471"/>
      <c r="R25" s="471"/>
      <c r="S25" s="471"/>
      <c r="T25" s="471"/>
      <c r="U25" s="471"/>
      <c r="V25" s="471"/>
      <c r="W25" s="471"/>
      <c r="X25" s="472"/>
      <c r="Y25" s="472"/>
      <c r="Z25" s="472"/>
      <c r="AA25" s="472"/>
      <c r="AB25" s="476"/>
      <c r="AC25" s="477"/>
      <c r="AD25" s="478"/>
      <c r="AE25" s="535"/>
      <c r="AF25" s="536"/>
      <c r="AG25" s="536"/>
      <c r="AH25" s="537"/>
    </row>
    <row r="26" spans="1:34" x14ac:dyDescent="0.15">
      <c r="A26" s="471"/>
      <c r="B26" s="471"/>
      <c r="C26" s="471"/>
      <c r="D26" s="471"/>
      <c r="E26" s="471"/>
      <c r="F26" s="471"/>
      <c r="G26" s="11"/>
      <c r="H26" s="511" t="s">
        <v>176</v>
      </c>
      <c r="I26" s="511"/>
      <c r="J26" s="512"/>
      <c r="K26" s="471"/>
      <c r="L26" s="471"/>
      <c r="M26" s="471"/>
      <c r="N26" s="471"/>
      <c r="O26" s="471"/>
      <c r="P26" s="471"/>
      <c r="Q26" s="471"/>
      <c r="R26" s="471"/>
      <c r="S26" s="471"/>
      <c r="T26" s="471"/>
      <c r="U26" s="471"/>
      <c r="V26" s="471"/>
      <c r="W26" s="471"/>
      <c r="X26" s="472"/>
      <c r="Y26" s="472"/>
      <c r="Z26" s="472"/>
      <c r="AA26" s="472"/>
      <c r="AB26" s="479"/>
      <c r="AC26" s="480"/>
      <c r="AD26" s="481"/>
      <c r="AE26" s="538"/>
      <c r="AF26" s="539"/>
      <c r="AG26" s="539"/>
      <c r="AH26" s="540"/>
    </row>
    <row r="27" spans="1:34" x14ac:dyDescent="0.15">
      <c r="A27" s="471"/>
      <c r="B27" s="471"/>
      <c r="C27" s="471"/>
      <c r="D27" s="471"/>
      <c r="E27" s="471"/>
      <c r="F27" s="471"/>
      <c r="G27" s="9"/>
      <c r="H27" s="482" t="s">
        <v>172</v>
      </c>
      <c r="I27" s="482"/>
      <c r="J27" s="483"/>
      <c r="K27" s="471"/>
      <c r="L27" s="471"/>
      <c r="M27" s="471"/>
      <c r="N27" s="471"/>
      <c r="O27" s="471"/>
      <c r="P27" s="471"/>
      <c r="Q27" s="471"/>
      <c r="R27" s="471"/>
      <c r="S27" s="471"/>
      <c r="T27" s="471"/>
      <c r="U27" s="471"/>
      <c r="V27" s="471"/>
      <c r="W27" s="471"/>
      <c r="X27" s="472"/>
      <c r="Y27" s="472"/>
      <c r="Z27" s="472"/>
      <c r="AA27" s="472"/>
      <c r="AB27" s="473"/>
      <c r="AC27" s="474"/>
      <c r="AD27" s="475"/>
      <c r="AE27" s="532" t="str">
        <f>IF(OR(X27="",AB27=""),"",X27*AB27)</f>
        <v/>
      </c>
      <c r="AF27" s="533"/>
      <c r="AG27" s="533"/>
      <c r="AH27" s="534"/>
    </row>
    <row r="28" spans="1:34" x14ac:dyDescent="0.15">
      <c r="A28" s="471"/>
      <c r="B28" s="471"/>
      <c r="C28" s="471"/>
      <c r="D28" s="471"/>
      <c r="E28" s="471"/>
      <c r="F28" s="471"/>
      <c r="G28" s="10"/>
      <c r="H28" s="509" t="s">
        <v>173</v>
      </c>
      <c r="I28" s="509"/>
      <c r="J28" s="510"/>
      <c r="K28" s="471"/>
      <c r="L28" s="471"/>
      <c r="M28" s="471"/>
      <c r="N28" s="471"/>
      <c r="O28" s="471"/>
      <c r="P28" s="471"/>
      <c r="Q28" s="471"/>
      <c r="R28" s="471"/>
      <c r="S28" s="471"/>
      <c r="T28" s="471"/>
      <c r="U28" s="471"/>
      <c r="V28" s="471"/>
      <c r="W28" s="471"/>
      <c r="X28" s="472"/>
      <c r="Y28" s="472"/>
      <c r="Z28" s="472"/>
      <c r="AA28" s="472"/>
      <c r="AB28" s="476"/>
      <c r="AC28" s="477"/>
      <c r="AD28" s="478"/>
      <c r="AE28" s="535"/>
      <c r="AF28" s="536"/>
      <c r="AG28" s="536"/>
      <c r="AH28" s="537"/>
    </row>
    <row r="29" spans="1:34" x14ac:dyDescent="0.15">
      <c r="A29" s="471"/>
      <c r="B29" s="471"/>
      <c r="C29" s="471"/>
      <c r="D29" s="471"/>
      <c r="E29" s="471"/>
      <c r="F29" s="471"/>
      <c r="G29" s="10"/>
      <c r="H29" s="509" t="s">
        <v>174</v>
      </c>
      <c r="I29" s="509"/>
      <c r="J29" s="510"/>
      <c r="K29" s="471"/>
      <c r="L29" s="471"/>
      <c r="M29" s="471"/>
      <c r="N29" s="471"/>
      <c r="O29" s="471"/>
      <c r="P29" s="471"/>
      <c r="Q29" s="471"/>
      <c r="R29" s="471"/>
      <c r="S29" s="471"/>
      <c r="T29" s="471"/>
      <c r="U29" s="471"/>
      <c r="V29" s="471"/>
      <c r="W29" s="471"/>
      <c r="X29" s="472"/>
      <c r="Y29" s="472"/>
      <c r="Z29" s="472"/>
      <c r="AA29" s="472"/>
      <c r="AB29" s="476"/>
      <c r="AC29" s="477"/>
      <c r="AD29" s="478"/>
      <c r="AE29" s="535"/>
      <c r="AF29" s="536"/>
      <c r="AG29" s="536"/>
      <c r="AH29" s="537"/>
    </row>
    <row r="30" spans="1:34" x14ac:dyDescent="0.15">
      <c r="A30" s="471"/>
      <c r="B30" s="471"/>
      <c r="C30" s="471"/>
      <c r="D30" s="471"/>
      <c r="E30" s="471"/>
      <c r="F30" s="471"/>
      <c r="G30" s="11"/>
      <c r="H30" s="511" t="s">
        <v>176</v>
      </c>
      <c r="I30" s="511"/>
      <c r="J30" s="512"/>
      <c r="K30" s="471"/>
      <c r="L30" s="471"/>
      <c r="M30" s="471"/>
      <c r="N30" s="471"/>
      <c r="O30" s="471"/>
      <c r="P30" s="471"/>
      <c r="Q30" s="471"/>
      <c r="R30" s="471"/>
      <c r="S30" s="471"/>
      <c r="T30" s="471"/>
      <c r="U30" s="471"/>
      <c r="V30" s="471"/>
      <c r="W30" s="471"/>
      <c r="X30" s="472"/>
      <c r="Y30" s="472"/>
      <c r="Z30" s="472"/>
      <c r="AA30" s="472"/>
      <c r="AB30" s="479"/>
      <c r="AC30" s="480"/>
      <c r="AD30" s="481"/>
      <c r="AE30" s="538"/>
      <c r="AF30" s="539"/>
      <c r="AG30" s="539"/>
      <c r="AH30" s="540"/>
    </row>
    <row r="31" spans="1:34" x14ac:dyDescent="0.15">
      <c r="A31" s="471"/>
      <c r="B31" s="471"/>
      <c r="C31" s="471"/>
      <c r="D31" s="471"/>
      <c r="E31" s="471"/>
      <c r="F31" s="471"/>
      <c r="G31" s="9"/>
      <c r="H31" s="482" t="s">
        <v>172</v>
      </c>
      <c r="I31" s="482"/>
      <c r="J31" s="483"/>
      <c r="K31" s="471"/>
      <c r="L31" s="471"/>
      <c r="M31" s="471"/>
      <c r="N31" s="471"/>
      <c r="O31" s="471"/>
      <c r="P31" s="471"/>
      <c r="Q31" s="471"/>
      <c r="R31" s="471"/>
      <c r="S31" s="471"/>
      <c r="T31" s="471"/>
      <c r="U31" s="471"/>
      <c r="V31" s="471"/>
      <c r="W31" s="471"/>
      <c r="X31" s="472"/>
      <c r="Y31" s="472"/>
      <c r="Z31" s="472"/>
      <c r="AA31" s="472"/>
      <c r="AB31" s="473"/>
      <c r="AC31" s="474"/>
      <c r="AD31" s="475"/>
      <c r="AE31" s="532" t="str">
        <f>IF(OR(X31="",AB31=""),"",X31*AB31)</f>
        <v/>
      </c>
      <c r="AF31" s="533"/>
      <c r="AG31" s="533"/>
      <c r="AH31" s="534"/>
    </row>
    <row r="32" spans="1:34" x14ac:dyDescent="0.15">
      <c r="A32" s="471"/>
      <c r="B32" s="471"/>
      <c r="C32" s="471"/>
      <c r="D32" s="471"/>
      <c r="E32" s="471"/>
      <c r="F32" s="471"/>
      <c r="G32" s="10"/>
      <c r="H32" s="509" t="s">
        <v>173</v>
      </c>
      <c r="I32" s="509"/>
      <c r="J32" s="510"/>
      <c r="K32" s="471"/>
      <c r="L32" s="471"/>
      <c r="M32" s="471"/>
      <c r="N32" s="471"/>
      <c r="O32" s="471"/>
      <c r="P32" s="471"/>
      <c r="Q32" s="471"/>
      <c r="R32" s="471"/>
      <c r="S32" s="471"/>
      <c r="T32" s="471"/>
      <c r="U32" s="471"/>
      <c r="V32" s="471"/>
      <c r="W32" s="471"/>
      <c r="X32" s="472"/>
      <c r="Y32" s="472"/>
      <c r="Z32" s="472"/>
      <c r="AA32" s="472"/>
      <c r="AB32" s="476"/>
      <c r="AC32" s="477"/>
      <c r="AD32" s="478"/>
      <c r="AE32" s="535"/>
      <c r="AF32" s="536"/>
      <c r="AG32" s="536"/>
      <c r="AH32" s="537"/>
    </row>
    <row r="33" spans="1:34" x14ac:dyDescent="0.15">
      <c r="A33" s="471"/>
      <c r="B33" s="471"/>
      <c r="C33" s="471"/>
      <c r="D33" s="471"/>
      <c r="E33" s="471"/>
      <c r="F33" s="471"/>
      <c r="G33" s="10"/>
      <c r="H33" s="509" t="s">
        <v>174</v>
      </c>
      <c r="I33" s="509"/>
      <c r="J33" s="510"/>
      <c r="K33" s="471"/>
      <c r="L33" s="471"/>
      <c r="M33" s="471"/>
      <c r="N33" s="471"/>
      <c r="O33" s="471"/>
      <c r="P33" s="471"/>
      <c r="Q33" s="471"/>
      <c r="R33" s="471"/>
      <c r="S33" s="471"/>
      <c r="T33" s="471"/>
      <c r="U33" s="471"/>
      <c r="V33" s="471"/>
      <c r="W33" s="471"/>
      <c r="X33" s="472"/>
      <c r="Y33" s="472"/>
      <c r="Z33" s="472"/>
      <c r="AA33" s="472"/>
      <c r="AB33" s="476"/>
      <c r="AC33" s="477"/>
      <c r="AD33" s="478"/>
      <c r="AE33" s="535"/>
      <c r="AF33" s="536"/>
      <c r="AG33" s="536"/>
      <c r="AH33" s="537"/>
    </row>
    <row r="34" spans="1:34" x14ac:dyDescent="0.15">
      <c r="A34" s="471"/>
      <c r="B34" s="471"/>
      <c r="C34" s="471"/>
      <c r="D34" s="471"/>
      <c r="E34" s="471"/>
      <c r="F34" s="471"/>
      <c r="G34" s="11"/>
      <c r="H34" s="511" t="s">
        <v>176</v>
      </c>
      <c r="I34" s="511"/>
      <c r="J34" s="512"/>
      <c r="K34" s="471"/>
      <c r="L34" s="471"/>
      <c r="M34" s="471"/>
      <c r="N34" s="471"/>
      <c r="O34" s="471"/>
      <c r="P34" s="471"/>
      <c r="Q34" s="471"/>
      <c r="R34" s="471"/>
      <c r="S34" s="471"/>
      <c r="T34" s="471"/>
      <c r="U34" s="471"/>
      <c r="V34" s="471"/>
      <c r="W34" s="471"/>
      <c r="X34" s="472"/>
      <c r="Y34" s="472"/>
      <c r="Z34" s="472"/>
      <c r="AA34" s="472"/>
      <c r="AB34" s="479"/>
      <c r="AC34" s="480"/>
      <c r="AD34" s="481"/>
      <c r="AE34" s="538"/>
      <c r="AF34" s="539"/>
      <c r="AG34" s="539"/>
      <c r="AH34" s="540"/>
    </row>
    <row r="35" spans="1:34" x14ac:dyDescent="0.15">
      <c r="A35" s="471"/>
      <c r="B35" s="471"/>
      <c r="C35" s="471"/>
      <c r="D35" s="471"/>
      <c r="E35" s="471"/>
      <c r="F35" s="471"/>
      <c r="G35" s="9"/>
      <c r="H35" s="482" t="s">
        <v>172</v>
      </c>
      <c r="I35" s="482"/>
      <c r="J35" s="483"/>
      <c r="K35" s="471"/>
      <c r="L35" s="471"/>
      <c r="M35" s="471"/>
      <c r="N35" s="471"/>
      <c r="O35" s="471"/>
      <c r="P35" s="471"/>
      <c r="Q35" s="471"/>
      <c r="R35" s="471"/>
      <c r="S35" s="471"/>
      <c r="T35" s="471"/>
      <c r="U35" s="471"/>
      <c r="V35" s="471"/>
      <c r="W35" s="471"/>
      <c r="X35" s="472"/>
      <c r="Y35" s="472"/>
      <c r="Z35" s="472"/>
      <c r="AA35" s="472"/>
      <c r="AB35" s="473"/>
      <c r="AC35" s="474"/>
      <c r="AD35" s="475"/>
      <c r="AE35" s="532" t="str">
        <f>IF(OR(X35="",AB35=""),"",X35*AB35)</f>
        <v/>
      </c>
      <c r="AF35" s="533"/>
      <c r="AG35" s="533"/>
      <c r="AH35" s="534"/>
    </row>
    <row r="36" spans="1:34" x14ac:dyDescent="0.15">
      <c r="A36" s="471"/>
      <c r="B36" s="471"/>
      <c r="C36" s="471"/>
      <c r="D36" s="471"/>
      <c r="E36" s="471"/>
      <c r="F36" s="471"/>
      <c r="G36" s="10"/>
      <c r="H36" s="509" t="s">
        <v>173</v>
      </c>
      <c r="I36" s="509"/>
      <c r="J36" s="510"/>
      <c r="K36" s="471"/>
      <c r="L36" s="471"/>
      <c r="M36" s="471"/>
      <c r="N36" s="471"/>
      <c r="O36" s="471"/>
      <c r="P36" s="471"/>
      <c r="Q36" s="471"/>
      <c r="R36" s="471"/>
      <c r="S36" s="471"/>
      <c r="T36" s="471"/>
      <c r="U36" s="471"/>
      <c r="V36" s="471"/>
      <c r="W36" s="471"/>
      <c r="X36" s="472"/>
      <c r="Y36" s="472"/>
      <c r="Z36" s="472"/>
      <c r="AA36" s="472"/>
      <c r="AB36" s="476"/>
      <c r="AC36" s="477"/>
      <c r="AD36" s="478"/>
      <c r="AE36" s="535"/>
      <c r="AF36" s="536"/>
      <c r="AG36" s="536"/>
      <c r="AH36" s="537"/>
    </row>
    <row r="37" spans="1:34" x14ac:dyDescent="0.15">
      <c r="A37" s="471"/>
      <c r="B37" s="471"/>
      <c r="C37" s="471"/>
      <c r="D37" s="471"/>
      <c r="E37" s="471"/>
      <c r="F37" s="471"/>
      <c r="G37" s="10"/>
      <c r="H37" s="509" t="s">
        <v>174</v>
      </c>
      <c r="I37" s="509"/>
      <c r="J37" s="510"/>
      <c r="K37" s="471"/>
      <c r="L37" s="471"/>
      <c r="M37" s="471"/>
      <c r="N37" s="471"/>
      <c r="O37" s="471"/>
      <c r="P37" s="471"/>
      <c r="Q37" s="471"/>
      <c r="R37" s="471"/>
      <c r="S37" s="471"/>
      <c r="T37" s="471"/>
      <c r="U37" s="471"/>
      <c r="V37" s="471"/>
      <c r="W37" s="471"/>
      <c r="X37" s="472"/>
      <c r="Y37" s="472"/>
      <c r="Z37" s="472"/>
      <c r="AA37" s="472"/>
      <c r="AB37" s="476"/>
      <c r="AC37" s="477"/>
      <c r="AD37" s="478"/>
      <c r="AE37" s="535"/>
      <c r="AF37" s="536"/>
      <c r="AG37" s="536"/>
      <c r="AH37" s="537"/>
    </row>
    <row r="38" spans="1:34" x14ac:dyDescent="0.15">
      <c r="A38" s="471"/>
      <c r="B38" s="471"/>
      <c r="C38" s="471"/>
      <c r="D38" s="471"/>
      <c r="E38" s="471"/>
      <c r="F38" s="471"/>
      <c r="G38" s="11"/>
      <c r="H38" s="511" t="s">
        <v>176</v>
      </c>
      <c r="I38" s="511"/>
      <c r="J38" s="512"/>
      <c r="K38" s="471"/>
      <c r="L38" s="471"/>
      <c r="M38" s="471"/>
      <c r="N38" s="471"/>
      <c r="O38" s="471"/>
      <c r="P38" s="471"/>
      <c r="Q38" s="471"/>
      <c r="R38" s="471"/>
      <c r="S38" s="471"/>
      <c r="T38" s="471"/>
      <c r="U38" s="471"/>
      <c r="V38" s="471"/>
      <c r="W38" s="471"/>
      <c r="X38" s="472"/>
      <c r="Y38" s="472"/>
      <c r="Z38" s="472"/>
      <c r="AA38" s="472"/>
      <c r="AB38" s="479"/>
      <c r="AC38" s="480"/>
      <c r="AD38" s="481"/>
      <c r="AE38" s="538"/>
      <c r="AF38" s="539"/>
      <c r="AG38" s="539"/>
      <c r="AH38" s="540"/>
    </row>
    <row r="39" spans="1:34" x14ac:dyDescent="0.15">
      <c r="A39" s="471"/>
      <c r="B39" s="471"/>
      <c r="C39" s="471"/>
      <c r="D39" s="471"/>
      <c r="E39" s="471"/>
      <c r="F39" s="471"/>
      <c r="G39" s="9"/>
      <c r="H39" s="482" t="s">
        <v>172</v>
      </c>
      <c r="I39" s="482"/>
      <c r="J39" s="483"/>
      <c r="K39" s="471"/>
      <c r="L39" s="471"/>
      <c r="M39" s="471"/>
      <c r="N39" s="471"/>
      <c r="O39" s="471"/>
      <c r="P39" s="471"/>
      <c r="Q39" s="471"/>
      <c r="R39" s="471"/>
      <c r="S39" s="471"/>
      <c r="T39" s="471"/>
      <c r="U39" s="471"/>
      <c r="V39" s="471"/>
      <c r="W39" s="471"/>
      <c r="X39" s="472"/>
      <c r="Y39" s="472"/>
      <c r="Z39" s="472"/>
      <c r="AA39" s="472"/>
      <c r="AB39" s="473"/>
      <c r="AC39" s="474"/>
      <c r="AD39" s="475"/>
      <c r="AE39" s="532" t="str">
        <f>IF(OR(X39="",AB39=""),"",X39*AB39)</f>
        <v/>
      </c>
      <c r="AF39" s="533"/>
      <c r="AG39" s="533"/>
      <c r="AH39" s="534"/>
    </row>
    <row r="40" spans="1:34" x14ac:dyDescent="0.15">
      <c r="A40" s="471"/>
      <c r="B40" s="471"/>
      <c r="C40" s="471"/>
      <c r="D40" s="471"/>
      <c r="E40" s="471"/>
      <c r="F40" s="471"/>
      <c r="G40" s="10"/>
      <c r="H40" s="509" t="s">
        <v>173</v>
      </c>
      <c r="I40" s="509"/>
      <c r="J40" s="510"/>
      <c r="K40" s="471"/>
      <c r="L40" s="471"/>
      <c r="M40" s="471"/>
      <c r="N40" s="471"/>
      <c r="O40" s="471"/>
      <c r="P40" s="471"/>
      <c r="Q40" s="471"/>
      <c r="R40" s="471"/>
      <c r="S40" s="471"/>
      <c r="T40" s="471"/>
      <c r="U40" s="471"/>
      <c r="V40" s="471"/>
      <c r="W40" s="471"/>
      <c r="X40" s="472"/>
      <c r="Y40" s="472"/>
      <c r="Z40" s="472"/>
      <c r="AA40" s="472"/>
      <c r="AB40" s="476"/>
      <c r="AC40" s="477"/>
      <c r="AD40" s="478"/>
      <c r="AE40" s="535"/>
      <c r="AF40" s="536"/>
      <c r="AG40" s="536"/>
      <c r="AH40" s="537"/>
    </row>
    <row r="41" spans="1:34" x14ac:dyDescent="0.15">
      <c r="A41" s="471"/>
      <c r="B41" s="471"/>
      <c r="C41" s="471"/>
      <c r="D41" s="471"/>
      <c r="E41" s="471"/>
      <c r="F41" s="471"/>
      <c r="G41" s="10"/>
      <c r="H41" s="509" t="s">
        <v>174</v>
      </c>
      <c r="I41" s="509"/>
      <c r="J41" s="510"/>
      <c r="K41" s="471"/>
      <c r="L41" s="471"/>
      <c r="M41" s="471"/>
      <c r="N41" s="471"/>
      <c r="O41" s="471"/>
      <c r="P41" s="471"/>
      <c r="Q41" s="471"/>
      <c r="R41" s="471"/>
      <c r="S41" s="471"/>
      <c r="T41" s="471"/>
      <c r="U41" s="471"/>
      <c r="V41" s="471"/>
      <c r="W41" s="471"/>
      <c r="X41" s="472"/>
      <c r="Y41" s="472"/>
      <c r="Z41" s="472"/>
      <c r="AA41" s="472"/>
      <c r="AB41" s="476"/>
      <c r="AC41" s="477"/>
      <c r="AD41" s="478"/>
      <c r="AE41" s="535"/>
      <c r="AF41" s="536"/>
      <c r="AG41" s="536"/>
      <c r="AH41" s="537"/>
    </row>
    <row r="42" spans="1:34" x14ac:dyDescent="0.15">
      <c r="A42" s="471"/>
      <c r="B42" s="471"/>
      <c r="C42" s="471"/>
      <c r="D42" s="471"/>
      <c r="E42" s="471"/>
      <c r="F42" s="471"/>
      <c r="G42" s="11"/>
      <c r="H42" s="511" t="s">
        <v>176</v>
      </c>
      <c r="I42" s="511"/>
      <c r="J42" s="512"/>
      <c r="K42" s="471"/>
      <c r="L42" s="471"/>
      <c r="M42" s="471"/>
      <c r="N42" s="471"/>
      <c r="O42" s="471"/>
      <c r="P42" s="471"/>
      <c r="Q42" s="471"/>
      <c r="R42" s="471"/>
      <c r="S42" s="471"/>
      <c r="T42" s="471"/>
      <c r="U42" s="471"/>
      <c r="V42" s="471"/>
      <c r="W42" s="471"/>
      <c r="X42" s="472"/>
      <c r="Y42" s="472"/>
      <c r="Z42" s="472"/>
      <c r="AA42" s="472"/>
      <c r="AB42" s="479"/>
      <c r="AC42" s="480"/>
      <c r="AD42" s="481"/>
      <c r="AE42" s="538"/>
      <c r="AF42" s="539"/>
      <c r="AG42" s="539"/>
      <c r="AH42" s="540"/>
    </row>
    <row r="43" spans="1:34" x14ac:dyDescent="0.15">
      <c r="A43" s="471"/>
      <c r="B43" s="471"/>
      <c r="C43" s="471"/>
      <c r="D43" s="471"/>
      <c r="E43" s="471"/>
      <c r="F43" s="471"/>
      <c r="G43" s="9"/>
      <c r="H43" s="482" t="s">
        <v>172</v>
      </c>
      <c r="I43" s="482"/>
      <c r="J43" s="483"/>
      <c r="K43" s="471"/>
      <c r="L43" s="471"/>
      <c r="M43" s="471"/>
      <c r="N43" s="471"/>
      <c r="O43" s="471"/>
      <c r="P43" s="471"/>
      <c r="Q43" s="471"/>
      <c r="R43" s="471"/>
      <c r="S43" s="471"/>
      <c r="T43" s="471"/>
      <c r="U43" s="471"/>
      <c r="V43" s="471"/>
      <c r="W43" s="471"/>
      <c r="X43" s="472"/>
      <c r="Y43" s="472"/>
      <c r="Z43" s="472"/>
      <c r="AA43" s="472"/>
      <c r="AB43" s="473"/>
      <c r="AC43" s="474"/>
      <c r="AD43" s="475"/>
      <c r="AE43" s="532" t="str">
        <f>IF(OR(X43="",AB43=""),"",X43*AB43)</f>
        <v/>
      </c>
      <c r="AF43" s="533"/>
      <c r="AG43" s="533"/>
      <c r="AH43" s="534"/>
    </row>
    <row r="44" spans="1:34" x14ac:dyDescent="0.15">
      <c r="A44" s="471"/>
      <c r="B44" s="471"/>
      <c r="C44" s="471"/>
      <c r="D44" s="471"/>
      <c r="E44" s="471"/>
      <c r="F44" s="471"/>
      <c r="G44" s="10"/>
      <c r="H44" s="509" t="s">
        <v>173</v>
      </c>
      <c r="I44" s="509"/>
      <c r="J44" s="510"/>
      <c r="K44" s="471"/>
      <c r="L44" s="471"/>
      <c r="M44" s="471"/>
      <c r="N44" s="471"/>
      <c r="O44" s="471"/>
      <c r="P44" s="471"/>
      <c r="Q44" s="471"/>
      <c r="R44" s="471"/>
      <c r="S44" s="471"/>
      <c r="T44" s="471"/>
      <c r="U44" s="471"/>
      <c r="V44" s="471"/>
      <c r="W44" s="471"/>
      <c r="X44" s="472"/>
      <c r="Y44" s="472"/>
      <c r="Z44" s="472"/>
      <c r="AA44" s="472"/>
      <c r="AB44" s="476"/>
      <c r="AC44" s="477"/>
      <c r="AD44" s="478"/>
      <c r="AE44" s="535"/>
      <c r="AF44" s="536"/>
      <c r="AG44" s="536"/>
      <c r="AH44" s="537"/>
    </row>
    <row r="45" spans="1:34" x14ac:dyDescent="0.15">
      <c r="A45" s="471"/>
      <c r="B45" s="471"/>
      <c r="C45" s="471"/>
      <c r="D45" s="471"/>
      <c r="E45" s="471"/>
      <c r="F45" s="471"/>
      <c r="G45" s="10"/>
      <c r="H45" s="509" t="s">
        <v>174</v>
      </c>
      <c r="I45" s="509"/>
      <c r="J45" s="510"/>
      <c r="K45" s="471"/>
      <c r="L45" s="471"/>
      <c r="M45" s="471"/>
      <c r="N45" s="471"/>
      <c r="O45" s="471"/>
      <c r="P45" s="471"/>
      <c r="Q45" s="471"/>
      <c r="R45" s="471"/>
      <c r="S45" s="471"/>
      <c r="T45" s="471"/>
      <c r="U45" s="471"/>
      <c r="V45" s="471"/>
      <c r="W45" s="471"/>
      <c r="X45" s="472"/>
      <c r="Y45" s="472"/>
      <c r="Z45" s="472"/>
      <c r="AA45" s="472"/>
      <c r="AB45" s="476"/>
      <c r="AC45" s="477"/>
      <c r="AD45" s="478"/>
      <c r="AE45" s="535"/>
      <c r="AF45" s="536"/>
      <c r="AG45" s="536"/>
      <c r="AH45" s="537"/>
    </row>
    <row r="46" spans="1:34" x14ac:dyDescent="0.15">
      <c r="A46" s="471"/>
      <c r="B46" s="471"/>
      <c r="C46" s="471"/>
      <c r="D46" s="471"/>
      <c r="E46" s="471"/>
      <c r="F46" s="471"/>
      <c r="G46" s="11"/>
      <c r="H46" s="511" t="s">
        <v>176</v>
      </c>
      <c r="I46" s="511"/>
      <c r="J46" s="512"/>
      <c r="K46" s="471"/>
      <c r="L46" s="471"/>
      <c r="M46" s="471"/>
      <c r="N46" s="471"/>
      <c r="O46" s="471"/>
      <c r="P46" s="471"/>
      <c r="Q46" s="471"/>
      <c r="R46" s="471"/>
      <c r="S46" s="471"/>
      <c r="T46" s="471"/>
      <c r="U46" s="471"/>
      <c r="V46" s="471"/>
      <c r="W46" s="471"/>
      <c r="X46" s="472"/>
      <c r="Y46" s="472"/>
      <c r="Z46" s="472"/>
      <c r="AA46" s="472"/>
      <c r="AB46" s="479"/>
      <c r="AC46" s="480"/>
      <c r="AD46" s="481"/>
      <c r="AE46" s="538"/>
      <c r="AF46" s="539"/>
      <c r="AG46" s="539"/>
      <c r="AH46" s="540"/>
    </row>
    <row r="47" spans="1:34" x14ac:dyDescent="0.15">
      <c r="A47" s="471"/>
      <c r="B47" s="471"/>
      <c r="C47" s="471"/>
      <c r="D47" s="471"/>
      <c r="E47" s="471"/>
      <c r="F47" s="471"/>
      <c r="G47" s="9"/>
      <c r="H47" s="482" t="s">
        <v>172</v>
      </c>
      <c r="I47" s="482"/>
      <c r="J47" s="483"/>
      <c r="K47" s="471"/>
      <c r="L47" s="471"/>
      <c r="M47" s="471"/>
      <c r="N47" s="471"/>
      <c r="O47" s="471"/>
      <c r="P47" s="471"/>
      <c r="Q47" s="471"/>
      <c r="R47" s="471"/>
      <c r="S47" s="471"/>
      <c r="T47" s="471"/>
      <c r="U47" s="471"/>
      <c r="V47" s="471"/>
      <c r="W47" s="471"/>
      <c r="X47" s="472"/>
      <c r="Y47" s="472"/>
      <c r="Z47" s="472"/>
      <c r="AA47" s="472"/>
      <c r="AB47" s="473"/>
      <c r="AC47" s="474"/>
      <c r="AD47" s="475"/>
      <c r="AE47" s="532" t="str">
        <f>IF(OR(X47="",AB47=""),"",X47*AB47)</f>
        <v/>
      </c>
      <c r="AF47" s="533"/>
      <c r="AG47" s="533"/>
      <c r="AH47" s="534"/>
    </row>
    <row r="48" spans="1:34" x14ac:dyDescent="0.15">
      <c r="A48" s="471"/>
      <c r="B48" s="471"/>
      <c r="C48" s="471"/>
      <c r="D48" s="471"/>
      <c r="E48" s="471"/>
      <c r="F48" s="471"/>
      <c r="G48" s="10"/>
      <c r="H48" s="509" t="s">
        <v>173</v>
      </c>
      <c r="I48" s="509"/>
      <c r="J48" s="510"/>
      <c r="K48" s="471"/>
      <c r="L48" s="471"/>
      <c r="M48" s="471"/>
      <c r="N48" s="471"/>
      <c r="O48" s="471"/>
      <c r="P48" s="471"/>
      <c r="Q48" s="471"/>
      <c r="R48" s="471"/>
      <c r="S48" s="471"/>
      <c r="T48" s="471"/>
      <c r="U48" s="471"/>
      <c r="V48" s="471"/>
      <c r="W48" s="471"/>
      <c r="X48" s="472"/>
      <c r="Y48" s="472"/>
      <c r="Z48" s="472"/>
      <c r="AA48" s="472"/>
      <c r="AB48" s="476"/>
      <c r="AC48" s="477"/>
      <c r="AD48" s="478"/>
      <c r="AE48" s="535"/>
      <c r="AF48" s="536"/>
      <c r="AG48" s="536"/>
      <c r="AH48" s="537"/>
    </row>
    <row r="49" spans="1:34" x14ac:dyDescent="0.15">
      <c r="A49" s="471"/>
      <c r="B49" s="471"/>
      <c r="C49" s="471"/>
      <c r="D49" s="471"/>
      <c r="E49" s="471"/>
      <c r="F49" s="471"/>
      <c r="G49" s="10"/>
      <c r="H49" s="509" t="s">
        <v>174</v>
      </c>
      <c r="I49" s="509"/>
      <c r="J49" s="510"/>
      <c r="K49" s="471"/>
      <c r="L49" s="471"/>
      <c r="M49" s="471"/>
      <c r="N49" s="471"/>
      <c r="O49" s="471"/>
      <c r="P49" s="471"/>
      <c r="Q49" s="471"/>
      <c r="R49" s="471"/>
      <c r="S49" s="471"/>
      <c r="T49" s="471"/>
      <c r="U49" s="471"/>
      <c r="V49" s="471"/>
      <c r="W49" s="471"/>
      <c r="X49" s="472"/>
      <c r="Y49" s="472"/>
      <c r="Z49" s="472"/>
      <c r="AA49" s="472"/>
      <c r="AB49" s="476"/>
      <c r="AC49" s="477"/>
      <c r="AD49" s="478"/>
      <c r="AE49" s="535"/>
      <c r="AF49" s="536"/>
      <c r="AG49" s="536"/>
      <c r="AH49" s="537"/>
    </row>
    <row r="50" spans="1:34" x14ac:dyDescent="0.15">
      <c r="A50" s="471"/>
      <c r="B50" s="471"/>
      <c r="C50" s="471"/>
      <c r="D50" s="471"/>
      <c r="E50" s="471"/>
      <c r="F50" s="471"/>
      <c r="G50" s="11"/>
      <c r="H50" s="511" t="s">
        <v>176</v>
      </c>
      <c r="I50" s="511"/>
      <c r="J50" s="512"/>
      <c r="K50" s="471"/>
      <c r="L50" s="471"/>
      <c r="M50" s="471"/>
      <c r="N50" s="471"/>
      <c r="O50" s="471"/>
      <c r="P50" s="471"/>
      <c r="Q50" s="471"/>
      <c r="R50" s="471"/>
      <c r="S50" s="471"/>
      <c r="T50" s="471"/>
      <c r="U50" s="471"/>
      <c r="V50" s="471"/>
      <c r="W50" s="471"/>
      <c r="X50" s="472"/>
      <c r="Y50" s="472"/>
      <c r="Z50" s="472"/>
      <c r="AA50" s="472"/>
      <c r="AB50" s="479"/>
      <c r="AC50" s="480"/>
      <c r="AD50" s="481"/>
      <c r="AE50" s="538"/>
      <c r="AF50" s="539"/>
      <c r="AG50" s="539"/>
      <c r="AH50" s="540"/>
    </row>
    <row r="51" spans="1:34" x14ac:dyDescent="0.15">
      <c r="A51" s="471"/>
      <c r="B51" s="471"/>
      <c r="C51" s="471"/>
      <c r="D51" s="471"/>
      <c r="E51" s="471"/>
      <c r="F51" s="471"/>
      <c r="G51" s="9"/>
      <c r="H51" s="482" t="s">
        <v>172</v>
      </c>
      <c r="I51" s="482"/>
      <c r="J51" s="483"/>
      <c r="K51" s="471"/>
      <c r="L51" s="471"/>
      <c r="M51" s="471"/>
      <c r="N51" s="471"/>
      <c r="O51" s="471"/>
      <c r="P51" s="471"/>
      <c r="Q51" s="471"/>
      <c r="R51" s="471"/>
      <c r="S51" s="471"/>
      <c r="T51" s="471"/>
      <c r="U51" s="471"/>
      <c r="V51" s="471"/>
      <c r="W51" s="471"/>
      <c r="X51" s="472"/>
      <c r="Y51" s="472"/>
      <c r="Z51" s="472"/>
      <c r="AA51" s="472"/>
      <c r="AB51" s="473"/>
      <c r="AC51" s="474"/>
      <c r="AD51" s="475"/>
      <c r="AE51" s="532" t="str">
        <f>IF(OR(X51="",AB51=""),"",X51*AB51)</f>
        <v/>
      </c>
      <c r="AF51" s="533"/>
      <c r="AG51" s="533"/>
      <c r="AH51" s="534"/>
    </row>
    <row r="52" spans="1:34" x14ac:dyDescent="0.15">
      <c r="A52" s="471"/>
      <c r="B52" s="471"/>
      <c r="C52" s="471"/>
      <c r="D52" s="471"/>
      <c r="E52" s="471"/>
      <c r="F52" s="471"/>
      <c r="G52" s="10"/>
      <c r="H52" s="509" t="s">
        <v>173</v>
      </c>
      <c r="I52" s="509"/>
      <c r="J52" s="510"/>
      <c r="K52" s="471"/>
      <c r="L52" s="471"/>
      <c r="M52" s="471"/>
      <c r="N52" s="471"/>
      <c r="O52" s="471"/>
      <c r="P52" s="471"/>
      <c r="Q52" s="471"/>
      <c r="R52" s="471"/>
      <c r="S52" s="471"/>
      <c r="T52" s="471"/>
      <c r="U52" s="471"/>
      <c r="V52" s="471"/>
      <c r="W52" s="471"/>
      <c r="X52" s="472"/>
      <c r="Y52" s="472"/>
      <c r="Z52" s="472"/>
      <c r="AA52" s="472"/>
      <c r="AB52" s="476"/>
      <c r="AC52" s="477"/>
      <c r="AD52" s="478"/>
      <c r="AE52" s="535"/>
      <c r="AF52" s="536"/>
      <c r="AG52" s="536"/>
      <c r="AH52" s="537"/>
    </row>
    <row r="53" spans="1:34" x14ac:dyDescent="0.15">
      <c r="A53" s="471"/>
      <c r="B53" s="471"/>
      <c r="C53" s="471"/>
      <c r="D53" s="471"/>
      <c r="E53" s="471"/>
      <c r="F53" s="471"/>
      <c r="G53" s="10"/>
      <c r="H53" s="509" t="s">
        <v>174</v>
      </c>
      <c r="I53" s="509"/>
      <c r="J53" s="510"/>
      <c r="K53" s="471"/>
      <c r="L53" s="471"/>
      <c r="M53" s="471"/>
      <c r="N53" s="471"/>
      <c r="O53" s="471"/>
      <c r="P53" s="471"/>
      <c r="Q53" s="471"/>
      <c r="R53" s="471"/>
      <c r="S53" s="471"/>
      <c r="T53" s="471"/>
      <c r="U53" s="471"/>
      <c r="V53" s="471"/>
      <c r="W53" s="471"/>
      <c r="X53" s="472"/>
      <c r="Y53" s="472"/>
      <c r="Z53" s="472"/>
      <c r="AA53" s="472"/>
      <c r="AB53" s="476"/>
      <c r="AC53" s="477"/>
      <c r="AD53" s="478"/>
      <c r="AE53" s="535"/>
      <c r="AF53" s="536"/>
      <c r="AG53" s="536"/>
      <c r="AH53" s="537"/>
    </row>
    <row r="54" spans="1:34" x14ac:dyDescent="0.15">
      <c r="A54" s="471"/>
      <c r="B54" s="471"/>
      <c r="C54" s="471"/>
      <c r="D54" s="471"/>
      <c r="E54" s="471"/>
      <c r="F54" s="471"/>
      <c r="G54" s="11"/>
      <c r="H54" s="511" t="s">
        <v>176</v>
      </c>
      <c r="I54" s="511"/>
      <c r="J54" s="512"/>
      <c r="K54" s="471"/>
      <c r="L54" s="471"/>
      <c r="M54" s="471"/>
      <c r="N54" s="471"/>
      <c r="O54" s="471"/>
      <c r="P54" s="471"/>
      <c r="Q54" s="471"/>
      <c r="R54" s="471"/>
      <c r="S54" s="471"/>
      <c r="T54" s="471"/>
      <c r="U54" s="471"/>
      <c r="V54" s="471"/>
      <c r="W54" s="471"/>
      <c r="X54" s="472"/>
      <c r="Y54" s="472"/>
      <c r="Z54" s="472"/>
      <c r="AA54" s="472"/>
      <c r="AB54" s="479"/>
      <c r="AC54" s="480"/>
      <c r="AD54" s="481"/>
      <c r="AE54" s="538"/>
      <c r="AF54" s="539"/>
      <c r="AG54" s="539"/>
      <c r="AH54" s="540"/>
    </row>
    <row r="55" spans="1:34" x14ac:dyDescent="0.15">
      <c r="AB55" s="126"/>
      <c r="AC55" s="126"/>
      <c r="AD55" s="126"/>
    </row>
    <row r="56" spans="1:34" x14ac:dyDescent="0.15">
      <c r="AB56" s="96"/>
      <c r="AC56" s="96"/>
      <c r="AD56" s="96"/>
    </row>
    <row r="57" spans="1:34" ht="13.35" customHeight="1" x14ac:dyDescent="0.15">
      <c r="B57" s="466" t="s">
        <v>180</v>
      </c>
      <c r="C57" s="467"/>
      <c r="D57" s="467"/>
      <c r="E57" s="467"/>
      <c r="F57" s="468">
        <f>SUM(AE11:AH54)</f>
        <v>12000</v>
      </c>
      <c r="G57" s="469"/>
      <c r="H57" s="469"/>
      <c r="I57" s="469"/>
      <c r="J57" s="470"/>
      <c r="K57" s="550" t="s">
        <v>181</v>
      </c>
      <c r="L57" s="551"/>
      <c r="M57" s="551"/>
      <c r="N57" s="551"/>
      <c r="O57" s="469">
        <f>ROUNDDOWN(F57/6000,0)</f>
        <v>2</v>
      </c>
      <c r="P57" s="469"/>
      <c r="Q57" s="469"/>
      <c r="R57" s="469"/>
      <c r="S57" s="469"/>
      <c r="T57" s="470"/>
      <c r="U57" s="484" t="s">
        <v>226</v>
      </c>
      <c r="V57" s="367"/>
      <c r="W57" s="485">
        <v>6000</v>
      </c>
      <c r="X57" s="485"/>
      <c r="Y57" s="485"/>
      <c r="Z57" s="86" t="s">
        <v>225</v>
      </c>
    </row>
    <row r="58" spans="1:34" x14ac:dyDescent="0.15">
      <c r="B58" s="466"/>
      <c r="C58" s="467"/>
      <c r="D58" s="467"/>
      <c r="E58" s="467"/>
      <c r="F58" s="469"/>
      <c r="G58" s="469"/>
      <c r="H58" s="469"/>
      <c r="I58" s="469"/>
      <c r="J58" s="470"/>
      <c r="K58" s="550"/>
      <c r="L58" s="551"/>
      <c r="M58" s="551"/>
      <c r="N58" s="551"/>
      <c r="O58" s="469"/>
      <c r="P58" s="469"/>
      <c r="Q58" s="469"/>
      <c r="R58" s="469"/>
      <c r="S58" s="469"/>
      <c r="T58" s="470"/>
      <c r="U58" s="127"/>
    </row>
    <row r="59" spans="1:34" x14ac:dyDescent="0.15">
      <c r="W59" s="120"/>
    </row>
  </sheetData>
  <sheetProtection sheet="1" objects="1" scenarios="1" formatCells="0" formatRows="0"/>
  <mergeCells count="153">
    <mergeCell ref="K57:N58"/>
    <mergeCell ref="O57:T58"/>
    <mergeCell ref="K39:O42"/>
    <mergeCell ref="P39:T42"/>
    <mergeCell ref="U39:W42"/>
    <mergeCell ref="AE31:AH34"/>
    <mergeCell ref="AE27:AH30"/>
    <mergeCell ref="U23:W26"/>
    <mergeCell ref="X23:AA26"/>
    <mergeCell ref="AE23:AH26"/>
    <mergeCell ref="AB43:AD46"/>
    <mergeCell ref="AE43:AH46"/>
    <mergeCell ref="AB35:AD38"/>
    <mergeCell ref="AE35:AH38"/>
    <mergeCell ref="X43:AA46"/>
    <mergeCell ref="X39:AA42"/>
    <mergeCell ref="AB39:AD42"/>
    <mergeCell ref="AE39:AH42"/>
    <mergeCell ref="A51:F54"/>
    <mergeCell ref="U51:W54"/>
    <mergeCell ref="A47:F50"/>
    <mergeCell ref="H47:J47"/>
    <mergeCell ref="K47:O50"/>
    <mergeCell ref="P47:T50"/>
    <mergeCell ref="U47:W50"/>
    <mergeCell ref="P1:R1"/>
    <mergeCell ref="S1:AH1"/>
    <mergeCell ref="P2:R3"/>
    <mergeCell ref="T2:V2"/>
    <mergeCell ref="X2:AA2"/>
    <mergeCell ref="AC2:AH2"/>
    <mergeCell ref="T3:AH3"/>
    <mergeCell ref="AB11:AD14"/>
    <mergeCell ref="AB15:AD18"/>
    <mergeCell ref="AE10:AH10"/>
    <mergeCell ref="AE11:AH14"/>
    <mergeCell ref="AE15:AH18"/>
    <mergeCell ref="X15:AA18"/>
    <mergeCell ref="H6:AH6"/>
    <mergeCell ref="X51:AA54"/>
    <mergeCell ref="AB51:AD54"/>
    <mergeCell ref="AE51:AH54"/>
    <mergeCell ref="H52:J52"/>
    <mergeCell ref="H53:J53"/>
    <mergeCell ref="H54:J54"/>
    <mergeCell ref="AB47:AD50"/>
    <mergeCell ref="AE47:AH50"/>
    <mergeCell ref="H48:J48"/>
    <mergeCell ref="H49:J49"/>
    <mergeCell ref="H50:J50"/>
    <mergeCell ref="H51:J51"/>
    <mergeCell ref="K51:O54"/>
    <mergeCell ref="P51:T54"/>
    <mergeCell ref="X47:AA50"/>
    <mergeCell ref="A35:F38"/>
    <mergeCell ref="A43:F46"/>
    <mergeCell ref="H43:J43"/>
    <mergeCell ref="K43:O46"/>
    <mergeCell ref="P43:T46"/>
    <mergeCell ref="U43:W46"/>
    <mergeCell ref="H40:J40"/>
    <mergeCell ref="H41:J41"/>
    <mergeCell ref="H42:J42"/>
    <mergeCell ref="H46:J46"/>
    <mergeCell ref="A39:F42"/>
    <mergeCell ref="H36:J36"/>
    <mergeCell ref="H37:J37"/>
    <mergeCell ref="H38:J38"/>
    <mergeCell ref="H39:J39"/>
    <mergeCell ref="H44:J44"/>
    <mergeCell ref="H45:J45"/>
    <mergeCell ref="AE19:AH22"/>
    <mergeCell ref="H20:J20"/>
    <mergeCell ref="H21:J21"/>
    <mergeCell ref="H22:J22"/>
    <mergeCell ref="H28:J28"/>
    <mergeCell ref="U31:W34"/>
    <mergeCell ref="X31:AA34"/>
    <mergeCell ref="AB31:AD34"/>
    <mergeCell ref="H29:J29"/>
    <mergeCell ref="H30:J30"/>
    <mergeCell ref="H32:J32"/>
    <mergeCell ref="H33:J33"/>
    <mergeCell ref="H34:J34"/>
    <mergeCell ref="H23:J23"/>
    <mergeCell ref="K23:O26"/>
    <mergeCell ref="P23:T26"/>
    <mergeCell ref="A19:F22"/>
    <mergeCell ref="H19:J19"/>
    <mergeCell ref="K19:O22"/>
    <mergeCell ref="P19:T22"/>
    <mergeCell ref="AB23:AD26"/>
    <mergeCell ref="H24:J24"/>
    <mergeCell ref="H25:J25"/>
    <mergeCell ref="H26:J26"/>
    <mergeCell ref="V4:X4"/>
    <mergeCell ref="K11:O14"/>
    <mergeCell ref="P11:T14"/>
    <mergeCell ref="H16:J16"/>
    <mergeCell ref="H17:J17"/>
    <mergeCell ref="H18:J18"/>
    <mergeCell ref="U10:W10"/>
    <mergeCell ref="G10:J10"/>
    <mergeCell ref="K10:O10"/>
    <mergeCell ref="P10:T10"/>
    <mergeCell ref="AF4:AH4"/>
    <mergeCell ref="AD4:AE4"/>
    <mergeCell ref="Z4:AC4"/>
    <mergeCell ref="X10:AA10"/>
    <mergeCell ref="AB10:AD10"/>
    <mergeCell ref="A10:F10"/>
    <mergeCell ref="A8:AH8"/>
    <mergeCell ref="A15:F18"/>
    <mergeCell ref="H15:J15"/>
    <mergeCell ref="K15:O18"/>
    <mergeCell ref="P15:T18"/>
    <mergeCell ref="U15:W18"/>
    <mergeCell ref="U11:W14"/>
    <mergeCell ref="X11:AA14"/>
    <mergeCell ref="H11:J11"/>
    <mergeCell ref="H12:J12"/>
    <mergeCell ref="H13:J13"/>
    <mergeCell ref="H14:J14"/>
    <mergeCell ref="A5:G5"/>
    <mergeCell ref="R5:X5"/>
    <mergeCell ref="A6:G6"/>
    <mergeCell ref="Y5:AH5"/>
    <mergeCell ref="H5:Q5"/>
    <mergeCell ref="A11:F14"/>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57:V57"/>
    <mergeCell ref="W57:Y57"/>
    <mergeCell ref="A31:F34"/>
    <mergeCell ref="H31:J31"/>
    <mergeCell ref="K31:O34"/>
    <mergeCell ref="P31:T34"/>
    <mergeCell ref="A23:F26"/>
  </mergeCells>
  <phoneticPr fontId="2"/>
  <dataValidations count="1">
    <dataValidation type="list" allowBlank="1" showInputMessage="1" showErrorMessage="1" sqref="Q9 U9" xr:uid="{00000000-0002-0000-03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alignWithMargins="0">
    <oddFooter>&amp;R20250822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47625</xdr:colOff>
                    <xdr:row>10</xdr:row>
                    <xdr:rowOff>0</xdr:rowOff>
                  </from>
                  <to>
                    <xdr:col>6</xdr:col>
                    <xdr:colOff>219075</xdr:colOff>
                    <xdr:row>11</xdr:row>
                    <xdr:rowOff>9525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47625</xdr:colOff>
                    <xdr:row>10</xdr:row>
                    <xdr:rowOff>333375</xdr:rowOff>
                  </from>
                  <to>
                    <xdr:col>6</xdr:col>
                    <xdr:colOff>219075</xdr:colOff>
                    <xdr:row>12</xdr:row>
                    <xdr:rowOff>9525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47625</xdr:colOff>
                    <xdr:row>11</xdr:row>
                    <xdr:rowOff>333375</xdr:rowOff>
                  </from>
                  <to>
                    <xdr:col>6</xdr:col>
                    <xdr:colOff>219075</xdr:colOff>
                    <xdr:row>13</xdr:row>
                    <xdr:rowOff>9525</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47625</xdr:colOff>
                    <xdr:row>12</xdr:row>
                    <xdr:rowOff>333375</xdr:rowOff>
                  </from>
                  <to>
                    <xdr:col>6</xdr:col>
                    <xdr:colOff>219075</xdr:colOff>
                    <xdr:row>14</xdr:row>
                    <xdr:rowOff>9525</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47625</xdr:colOff>
                    <xdr:row>13</xdr:row>
                    <xdr:rowOff>333375</xdr:rowOff>
                  </from>
                  <to>
                    <xdr:col>6</xdr:col>
                    <xdr:colOff>219075</xdr:colOff>
                    <xdr:row>15</xdr:row>
                    <xdr:rowOff>9525</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47625</xdr:colOff>
                    <xdr:row>14</xdr:row>
                    <xdr:rowOff>333375</xdr:rowOff>
                  </from>
                  <to>
                    <xdr:col>6</xdr:col>
                    <xdr:colOff>219075</xdr:colOff>
                    <xdr:row>16</xdr:row>
                    <xdr:rowOff>9525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47625</xdr:colOff>
                    <xdr:row>15</xdr:row>
                    <xdr:rowOff>333375</xdr:rowOff>
                  </from>
                  <to>
                    <xdr:col>6</xdr:col>
                    <xdr:colOff>219075</xdr:colOff>
                    <xdr:row>17</xdr:row>
                    <xdr:rowOff>9525</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47625</xdr:colOff>
                    <xdr:row>16</xdr:row>
                    <xdr:rowOff>333375</xdr:rowOff>
                  </from>
                  <to>
                    <xdr:col>6</xdr:col>
                    <xdr:colOff>219075</xdr:colOff>
                    <xdr:row>18</xdr:row>
                    <xdr:rowOff>9525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47625</xdr:colOff>
                    <xdr:row>16</xdr:row>
                    <xdr:rowOff>333375</xdr:rowOff>
                  </from>
                  <to>
                    <xdr:col>6</xdr:col>
                    <xdr:colOff>219075</xdr:colOff>
                    <xdr:row>18</xdr:row>
                    <xdr:rowOff>9525</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47625</xdr:colOff>
                    <xdr:row>17</xdr:row>
                    <xdr:rowOff>333375</xdr:rowOff>
                  </from>
                  <to>
                    <xdr:col>6</xdr:col>
                    <xdr:colOff>219075</xdr:colOff>
                    <xdr:row>19</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47625</xdr:colOff>
                    <xdr:row>18</xdr:row>
                    <xdr:rowOff>333375</xdr:rowOff>
                  </from>
                  <to>
                    <xdr:col>6</xdr:col>
                    <xdr:colOff>219075</xdr:colOff>
                    <xdr:row>20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47625</xdr:colOff>
                    <xdr:row>19</xdr:row>
                    <xdr:rowOff>333375</xdr:rowOff>
                  </from>
                  <to>
                    <xdr:col>6</xdr:col>
                    <xdr:colOff>219075</xdr:colOff>
                    <xdr:row>21</xdr:row>
                    <xdr:rowOff>9525</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47625</xdr:colOff>
                    <xdr:row>20</xdr:row>
                    <xdr:rowOff>333375</xdr:rowOff>
                  </from>
                  <to>
                    <xdr:col>6</xdr:col>
                    <xdr:colOff>219075</xdr:colOff>
                    <xdr:row>22</xdr:row>
                    <xdr:rowOff>9525</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47625</xdr:colOff>
                    <xdr:row>20</xdr:row>
                    <xdr:rowOff>333375</xdr:rowOff>
                  </from>
                  <to>
                    <xdr:col>6</xdr:col>
                    <xdr:colOff>219075</xdr:colOff>
                    <xdr:row>22</xdr:row>
                    <xdr:rowOff>9525</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47625</xdr:colOff>
                    <xdr:row>21</xdr:row>
                    <xdr:rowOff>333375</xdr:rowOff>
                  </from>
                  <to>
                    <xdr:col>6</xdr:col>
                    <xdr:colOff>219075</xdr:colOff>
                    <xdr:row>23</xdr:row>
                    <xdr:rowOff>9525</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47625</xdr:colOff>
                    <xdr:row>22</xdr:row>
                    <xdr:rowOff>333375</xdr:rowOff>
                  </from>
                  <to>
                    <xdr:col>6</xdr:col>
                    <xdr:colOff>219075</xdr:colOff>
                    <xdr:row>24</xdr:row>
                    <xdr:rowOff>9525</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47625</xdr:colOff>
                    <xdr:row>23</xdr:row>
                    <xdr:rowOff>333375</xdr:rowOff>
                  </from>
                  <to>
                    <xdr:col>6</xdr:col>
                    <xdr:colOff>219075</xdr:colOff>
                    <xdr:row>25</xdr:row>
                    <xdr:rowOff>9525</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47625</xdr:colOff>
                    <xdr:row>24</xdr:row>
                    <xdr:rowOff>333375</xdr:rowOff>
                  </from>
                  <to>
                    <xdr:col>6</xdr:col>
                    <xdr:colOff>219075</xdr:colOff>
                    <xdr:row>26</xdr:row>
                    <xdr:rowOff>9525</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47625</xdr:colOff>
                    <xdr:row>24</xdr:row>
                    <xdr:rowOff>333375</xdr:rowOff>
                  </from>
                  <to>
                    <xdr:col>6</xdr:col>
                    <xdr:colOff>219075</xdr:colOff>
                    <xdr:row>26</xdr:row>
                    <xdr:rowOff>9525</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47625</xdr:colOff>
                    <xdr:row>25</xdr:row>
                    <xdr:rowOff>333375</xdr:rowOff>
                  </from>
                  <to>
                    <xdr:col>6</xdr:col>
                    <xdr:colOff>219075</xdr:colOff>
                    <xdr:row>27</xdr:row>
                    <xdr:rowOff>9525</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47625</xdr:colOff>
                    <xdr:row>26</xdr:row>
                    <xdr:rowOff>333375</xdr:rowOff>
                  </from>
                  <to>
                    <xdr:col>6</xdr:col>
                    <xdr:colOff>219075</xdr:colOff>
                    <xdr:row>28</xdr:row>
                    <xdr:rowOff>9525</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47625</xdr:colOff>
                    <xdr:row>27</xdr:row>
                    <xdr:rowOff>333375</xdr:rowOff>
                  </from>
                  <to>
                    <xdr:col>6</xdr:col>
                    <xdr:colOff>219075</xdr:colOff>
                    <xdr:row>29</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47625</xdr:colOff>
                    <xdr:row>28</xdr:row>
                    <xdr:rowOff>333375</xdr:rowOff>
                  </from>
                  <to>
                    <xdr:col>6</xdr:col>
                    <xdr:colOff>219075</xdr:colOff>
                    <xdr:row>30</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47625</xdr:colOff>
                    <xdr:row>28</xdr:row>
                    <xdr:rowOff>333375</xdr:rowOff>
                  </from>
                  <to>
                    <xdr:col>6</xdr:col>
                    <xdr:colOff>219075</xdr:colOff>
                    <xdr:row>30</xdr:row>
                    <xdr:rowOff>9525</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47625</xdr:colOff>
                    <xdr:row>29</xdr:row>
                    <xdr:rowOff>333375</xdr:rowOff>
                  </from>
                  <to>
                    <xdr:col>6</xdr:col>
                    <xdr:colOff>219075</xdr:colOff>
                    <xdr:row>31</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47625</xdr:colOff>
                    <xdr:row>30</xdr:row>
                    <xdr:rowOff>333375</xdr:rowOff>
                  </from>
                  <to>
                    <xdr:col>6</xdr:col>
                    <xdr:colOff>219075</xdr:colOff>
                    <xdr:row>32</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47625</xdr:colOff>
                    <xdr:row>31</xdr:row>
                    <xdr:rowOff>333375</xdr:rowOff>
                  </from>
                  <to>
                    <xdr:col>6</xdr:col>
                    <xdr:colOff>219075</xdr:colOff>
                    <xdr:row>33</xdr:row>
                    <xdr:rowOff>9525</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47625</xdr:colOff>
                    <xdr:row>32</xdr:row>
                    <xdr:rowOff>333375</xdr:rowOff>
                  </from>
                  <to>
                    <xdr:col>6</xdr:col>
                    <xdr:colOff>219075</xdr:colOff>
                    <xdr:row>34</xdr:row>
                    <xdr:rowOff>9525</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47625</xdr:colOff>
                    <xdr:row>32</xdr:row>
                    <xdr:rowOff>333375</xdr:rowOff>
                  </from>
                  <to>
                    <xdr:col>6</xdr:col>
                    <xdr:colOff>219075</xdr:colOff>
                    <xdr:row>34</xdr:row>
                    <xdr:rowOff>9525</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47625</xdr:colOff>
                    <xdr:row>33</xdr:row>
                    <xdr:rowOff>333375</xdr:rowOff>
                  </from>
                  <to>
                    <xdr:col>6</xdr:col>
                    <xdr:colOff>219075</xdr:colOff>
                    <xdr:row>35</xdr:row>
                    <xdr:rowOff>9525</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47625</xdr:colOff>
                    <xdr:row>34</xdr:row>
                    <xdr:rowOff>333375</xdr:rowOff>
                  </from>
                  <to>
                    <xdr:col>6</xdr:col>
                    <xdr:colOff>219075</xdr:colOff>
                    <xdr:row>36</xdr:row>
                    <xdr:rowOff>9525</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47625</xdr:colOff>
                    <xdr:row>35</xdr:row>
                    <xdr:rowOff>333375</xdr:rowOff>
                  </from>
                  <to>
                    <xdr:col>6</xdr:col>
                    <xdr:colOff>219075</xdr:colOff>
                    <xdr:row>37</xdr:row>
                    <xdr:rowOff>9525</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47625</xdr:colOff>
                    <xdr:row>36</xdr:row>
                    <xdr:rowOff>333375</xdr:rowOff>
                  </from>
                  <to>
                    <xdr:col>6</xdr:col>
                    <xdr:colOff>219075</xdr:colOff>
                    <xdr:row>38</xdr:row>
                    <xdr:rowOff>9525</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47625</xdr:colOff>
                    <xdr:row>36</xdr:row>
                    <xdr:rowOff>333375</xdr:rowOff>
                  </from>
                  <to>
                    <xdr:col>6</xdr:col>
                    <xdr:colOff>219075</xdr:colOff>
                    <xdr:row>38</xdr:row>
                    <xdr:rowOff>9525</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47625</xdr:colOff>
                    <xdr:row>37</xdr:row>
                    <xdr:rowOff>333375</xdr:rowOff>
                  </from>
                  <to>
                    <xdr:col>6</xdr:col>
                    <xdr:colOff>219075</xdr:colOff>
                    <xdr:row>39</xdr:row>
                    <xdr:rowOff>9525</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47625</xdr:colOff>
                    <xdr:row>38</xdr:row>
                    <xdr:rowOff>333375</xdr:rowOff>
                  </from>
                  <to>
                    <xdr:col>6</xdr:col>
                    <xdr:colOff>219075</xdr:colOff>
                    <xdr:row>40</xdr:row>
                    <xdr:rowOff>9525</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47625</xdr:colOff>
                    <xdr:row>39</xdr:row>
                    <xdr:rowOff>333375</xdr:rowOff>
                  </from>
                  <to>
                    <xdr:col>6</xdr:col>
                    <xdr:colOff>219075</xdr:colOff>
                    <xdr:row>41</xdr:row>
                    <xdr:rowOff>9525</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47625</xdr:colOff>
                    <xdr:row>40</xdr:row>
                    <xdr:rowOff>333375</xdr:rowOff>
                  </from>
                  <to>
                    <xdr:col>6</xdr:col>
                    <xdr:colOff>219075</xdr:colOff>
                    <xdr:row>42</xdr:row>
                    <xdr:rowOff>9525</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47625</xdr:colOff>
                    <xdr:row>40</xdr:row>
                    <xdr:rowOff>333375</xdr:rowOff>
                  </from>
                  <to>
                    <xdr:col>6</xdr:col>
                    <xdr:colOff>219075</xdr:colOff>
                    <xdr:row>42</xdr:row>
                    <xdr:rowOff>9525</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47625</xdr:colOff>
                    <xdr:row>41</xdr:row>
                    <xdr:rowOff>333375</xdr:rowOff>
                  </from>
                  <to>
                    <xdr:col>6</xdr:col>
                    <xdr:colOff>219075</xdr:colOff>
                    <xdr:row>43</xdr:row>
                    <xdr:rowOff>9525</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47625</xdr:colOff>
                    <xdr:row>42</xdr:row>
                    <xdr:rowOff>333375</xdr:rowOff>
                  </from>
                  <to>
                    <xdr:col>6</xdr:col>
                    <xdr:colOff>219075</xdr:colOff>
                    <xdr:row>44</xdr:row>
                    <xdr:rowOff>9525</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47625</xdr:colOff>
                    <xdr:row>43</xdr:row>
                    <xdr:rowOff>333375</xdr:rowOff>
                  </from>
                  <to>
                    <xdr:col>6</xdr:col>
                    <xdr:colOff>219075</xdr:colOff>
                    <xdr:row>45</xdr:row>
                    <xdr:rowOff>9525</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47625</xdr:colOff>
                    <xdr:row>44</xdr:row>
                    <xdr:rowOff>333375</xdr:rowOff>
                  </from>
                  <to>
                    <xdr:col>6</xdr:col>
                    <xdr:colOff>219075</xdr:colOff>
                    <xdr:row>46</xdr:row>
                    <xdr:rowOff>9525</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47625</xdr:colOff>
                    <xdr:row>45</xdr:row>
                    <xdr:rowOff>333375</xdr:rowOff>
                  </from>
                  <to>
                    <xdr:col>6</xdr:col>
                    <xdr:colOff>219075</xdr:colOff>
                    <xdr:row>47</xdr:row>
                    <xdr:rowOff>9525</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47625</xdr:colOff>
                    <xdr:row>46</xdr:row>
                    <xdr:rowOff>333375</xdr:rowOff>
                  </from>
                  <to>
                    <xdr:col>6</xdr:col>
                    <xdr:colOff>219075</xdr:colOff>
                    <xdr:row>48</xdr:row>
                    <xdr:rowOff>9525</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47625</xdr:colOff>
                    <xdr:row>47</xdr:row>
                    <xdr:rowOff>333375</xdr:rowOff>
                  </from>
                  <to>
                    <xdr:col>6</xdr:col>
                    <xdr:colOff>219075</xdr:colOff>
                    <xdr:row>49</xdr:row>
                    <xdr:rowOff>9525</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47625</xdr:colOff>
                    <xdr:row>48</xdr:row>
                    <xdr:rowOff>333375</xdr:rowOff>
                  </from>
                  <to>
                    <xdr:col>6</xdr:col>
                    <xdr:colOff>219075</xdr:colOff>
                    <xdr:row>50</xdr:row>
                    <xdr:rowOff>9525</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47625</xdr:colOff>
                    <xdr:row>48</xdr:row>
                    <xdr:rowOff>333375</xdr:rowOff>
                  </from>
                  <to>
                    <xdr:col>6</xdr:col>
                    <xdr:colOff>219075</xdr:colOff>
                    <xdr:row>50</xdr:row>
                    <xdr:rowOff>9525</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47625</xdr:colOff>
                    <xdr:row>49</xdr:row>
                    <xdr:rowOff>333375</xdr:rowOff>
                  </from>
                  <to>
                    <xdr:col>6</xdr:col>
                    <xdr:colOff>219075</xdr:colOff>
                    <xdr:row>51</xdr:row>
                    <xdr:rowOff>9525</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47625</xdr:colOff>
                    <xdr:row>50</xdr:row>
                    <xdr:rowOff>333375</xdr:rowOff>
                  </from>
                  <to>
                    <xdr:col>6</xdr:col>
                    <xdr:colOff>219075</xdr:colOff>
                    <xdr:row>52</xdr:row>
                    <xdr:rowOff>9525</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47625</xdr:colOff>
                    <xdr:row>51</xdr:row>
                    <xdr:rowOff>333375</xdr:rowOff>
                  </from>
                  <to>
                    <xdr:col>6</xdr:col>
                    <xdr:colOff>219075</xdr:colOff>
                    <xdr:row>53</xdr:row>
                    <xdr:rowOff>9525</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47625</xdr:colOff>
                    <xdr:row>52</xdr:row>
                    <xdr:rowOff>333375</xdr:rowOff>
                  </from>
                  <to>
                    <xdr:col>6</xdr:col>
                    <xdr:colOff>219075</xdr:colOff>
                    <xdr:row>54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62"/>
  <sheetViews>
    <sheetView view="pageBreakPreview" zoomScale="80" zoomScaleNormal="60" zoomScaleSheetLayoutView="80" workbookViewId="0">
      <selection activeCell="C14" sqref="C14:Q14"/>
    </sheetView>
  </sheetViews>
  <sheetFormatPr defaultColWidth="8.75" defaultRowHeight="13.5" outlineLevelCol="1" x14ac:dyDescent="0.15"/>
  <cols>
    <col min="1" max="34" width="3.625" style="86" customWidth="1"/>
    <col min="35" max="35" width="3.5" style="86" hidden="1" customWidth="1" outlineLevel="1"/>
    <col min="36" max="36" width="20" style="86" hidden="1" customWidth="1" outlineLevel="1"/>
    <col min="37" max="39" width="14.5" style="86" hidden="1" customWidth="1" outlineLevel="1"/>
    <col min="40" max="40" width="19.875" style="86" hidden="1" customWidth="1" outlineLevel="1"/>
    <col min="41" max="43" width="14.5" style="86" hidden="1" customWidth="1" outlineLevel="1"/>
    <col min="44" max="44" width="3.625" style="86" hidden="1" customWidth="1" outlineLevel="1"/>
    <col min="45" max="45" width="8.75" style="86" collapsed="1"/>
    <col min="46" max="16384" width="8.75" style="86"/>
  </cols>
  <sheetData>
    <row r="1" spans="1:44" ht="19.149999999999999" customHeight="1" x14ac:dyDescent="0.15">
      <c r="A1" s="48" t="s">
        <v>322</v>
      </c>
      <c r="F1" s="87"/>
      <c r="G1" s="87"/>
      <c r="P1" s="271" t="s">
        <v>24</v>
      </c>
      <c r="Q1" s="272"/>
      <c r="R1" s="273"/>
      <c r="S1" s="258" t="str">
        <f>IF(YC書式522_経費内訳書・再生医療!O1="","",YC書式522_経費内訳書・再生医療!O1)</f>
        <v/>
      </c>
      <c r="T1" s="259"/>
      <c r="U1" s="259"/>
      <c r="V1" s="259"/>
      <c r="W1" s="259"/>
      <c r="X1" s="259"/>
      <c r="Y1" s="259"/>
      <c r="Z1" s="259"/>
      <c r="AA1" s="259"/>
      <c r="AB1" s="259"/>
      <c r="AC1" s="259"/>
      <c r="AD1" s="259"/>
      <c r="AE1" s="259"/>
      <c r="AF1" s="259"/>
      <c r="AG1" s="259"/>
      <c r="AH1" s="260"/>
      <c r="AI1" s="87"/>
      <c r="AJ1" s="87"/>
      <c r="AK1" s="87"/>
      <c r="AL1" s="87"/>
      <c r="AM1" s="87"/>
      <c r="AN1" s="87"/>
      <c r="AO1" s="87"/>
      <c r="AP1" s="87"/>
      <c r="AQ1" s="87"/>
      <c r="AR1" s="87"/>
    </row>
    <row r="2" spans="1:44" ht="12.95" customHeight="1" x14ac:dyDescent="0.15">
      <c r="A2" s="90"/>
      <c r="F2" s="87"/>
      <c r="G2" s="87"/>
      <c r="P2" s="261" t="s">
        <v>74</v>
      </c>
      <c r="Q2" s="262"/>
      <c r="R2" s="263"/>
      <c r="S2" s="88" t="str">
        <f>YC書式522_経費内訳書・再生医療!O2</f>
        <v>■</v>
      </c>
      <c r="T2" s="267" t="str">
        <f>YC書式522_経費内訳書・再生医療!P2</f>
        <v>治験</v>
      </c>
      <c r="U2" s="267"/>
      <c r="V2" s="267"/>
      <c r="W2" s="89" t="str">
        <f>YC書式522_経費内訳書・再生医療!S2</f>
        <v>□</v>
      </c>
      <c r="X2" s="267" t="str">
        <f>YC書式522_経費内訳書・再生医療!T2</f>
        <v>拡大治験</v>
      </c>
      <c r="Y2" s="267"/>
      <c r="Z2" s="267"/>
      <c r="AA2" s="267"/>
      <c r="AB2" s="89" t="str">
        <f>YC書式522_経費内訳書・再生医療!X2</f>
        <v>□</v>
      </c>
      <c r="AC2" s="267" t="str">
        <f>YC書式522_経費内訳書・再生医療!Y2</f>
        <v>製造販売後臨床試験</v>
      </c>
      <c r="AD2" s="267"/>
      <c r="AE2" s="267"/>
      <c r="AF2" s="267"/>
      <c r="AG2" s="267"/>
      <c r="AH2" s="268"/>
      <c r="AI2" s="92"/>
      <c r="AJ2" s="92"/>
      <c r="AK2" s="92"/>
      <c r="AL2" s="92"/>
      <c r="AM2" s="92"/>
      <c r="AN2" s="92"/>
      <c r="AO2" s="92"/>
      <c r="AP2" s="92"/>
      <c r="AQ2" s="92"/>
      <c r="AR2" s="92"/>
    </row>
    <row r="3" spans="1:44" ht="12.95" customHeight="1" x14ac:dyDescent="0.15">
      <c r="A3" s="90"/>
      <c r="F3" s="87"/>
      <c r="G3" s="87"/>
      <c r="P3" s="264"/>
      <c r="Q3" s="265"/>
      <c r="R3" s="266"/>
      <c r="S3" s="89" t="str">
        <f>YC書式522_経費内訳書・再生医療!O3</f>
        <v>■</v>
      </c>
      <c r="T3" s="267" t="str">
        <f>YC書式522_経費内訳書・再生医療!P3</f>
        <v>再生医療等製品</v>
      </c>
      <c r="U3" s="267"/>
      <c r="V3" s="267"/>
      <c r="W3" s="267"/>
      <c r="X3" s="267"/>
      <c r="Y3" s="267"/>
      <c r="Z3" s="267"/>
      <c r="AA3" s="267"/>
      <c r="AB3" s="267"/>
      <c r="AC3" s="267"/>
      <c r="AD3" s="267"/>
      <c r="AE3" s="267"/>
      <c r="AF3" s="267"/>
      <c r="AG3" s="267"/>
      <c r="AH3" s="268"/>
      <c r="AI3" s="92"/>
      <c r="AJ3" s="92"/>
      <c r="AK3" s="92"/>
      <c r="AL3" s="92"/>
      <c r="AM3" s="92"/>
      <c r="AN3" s="92"/>
      <c r="AO3" s="92"/>
      <c r="AP3" s="92"/>
      <c r="AQ3" s="92"/>
      <c r="AR3" s="92"/>
    </row>
    <row r="4" spans="1:44" x14ac:dyDescent="0.15">
      <c r="A4" s="90"/>
      <c r="F4" s="87"/>
      <c r="G4" s="87"/>
      <c r="U4" s="121" t="str">
        <f>YC書式522_経費内訳書・再生医療!P4</f>
        <v>■</v>
      </c>
      <c r="V4" s="488" t="s">
        <v>155</v>
      </c>
      <c r="W4" s="488"/>
      <c r="X4" s="488"/>
      <c r="Y4" s="121" t="str">
        <f>YC書式522_経費内訳書・再生医療!T4</f>
        <v>□</v>
      </c>
      <c r="Z4" s="488" t="s">
        <v>156</v>
      </c>
      <c r="AA4" s="488"/>
      <c r="AB4" s="488"/>
      <c r="AC4" s="488"/>
      <c r="AD4" s="552" t="s">
        <v>198</v>
      </c>
      <c r="AE4" s="552"/>
      <c r="AF4" s="553" t="str">
        <f>YC書式522_経費内訳書・再生医療!AB4</f>
        <v>202●/●/●</v>
      </c>
      <c r="AG4" s="554"/>
      <c r="AH4" s="554"/>
      <c r="AI4" s="117"/>
      <c r="AJ4" s="117"/>
      <c r="AK4" s="117"/>
      <c r="AL4" s="117"/>
      <c r="AM4" s="117"/>
      <c r="AN4" s="117"/>
      <c r="AO4" s="117"/>
      <c r="AP4" s="117"/>
      <c r="AQ4" s="117"/>
      <c r="AR4" s="117"/>
    </row>
    <row r="5" spans="1:44" s="59" customFormat="1" ht="25.5" customHeight="1" x14ac:dyDescent="0.15">
      <c r="A5" s="280" t="s">
        <v>260</v>
      </c>
      <c r="B5" s="280"/>
      <c r="C5" s="280"/>
      <c r="D5" s="280"/>
      <c r="E5" s="280"/>
      <c r="F5" s="280"/>
      <c r="G5" s="280"/>
      <c r="H5" s="279" t="str">
        <f>IF(YC書式522_経費内訳書・再生医療!H5="","",YC書式522_経費内訳書・再生医療!H5)</f>
        <v/>
      </c>
      <c r="I5" s="279"/>
      <c r="J5" s="279"/>
      <c r="K5" s="279"/>
      <c r="L5" s="279"/>
      <c r="M5" s="279"/>
      <c r="N5" s="279"/>
      <c r="O5" s="279"/>
      <c r="P5" s="279"/>
      <c r="Q5" s="279"/>
      <c r="R5" s="257" t="s">
        <v>26</v>
      </c>
      <c r="S5" s="257"/>
      <c r="T5" s="257"/>
      <c r="U5" s="257"/>
      <c r="V5" s="257"/>
      <c r="W5" s="257"/>
      <c r="X5" s="257"/>
      <c r="Y5" s="513" t="str">
        <f>IF(YC書式522_経費内訳書・再生医療!W5="","",YC書式522_経費内訳書・再生医療!W5)</f>
        <v/>
      </c>
      <c r="Z5" s="513"/>
      <c r="AA5" s="513"/>
      <c r="AB5" s="513"/>
      <c r="AC5" s="513"/>
      <c r="AD5" s="513"/>
      <c r="AE5" s="513"/>
      <c r="AF5" s="513"/>
      <c r="AG5" s="513"/>
      <c r="AH5" s="513"/>
    </row>
    <row r="6" spans="1:44" s="59" customFormat="1" ht="34.5" customHeight="1" x14ac:dyDescent="0.15">
      <c r="A6" s="154" t="s">
        <v>0</v>
      </c>
      <c r="B6" s="154"/>
      <c r="C6" s="154"/>
      <c r="D6" s="154"/>
      <c r="E6" s="154"/>
      <c r="F6" s="154"/>
      <c r="G6" s="154"/>
      <c r="H6" s="209" t="str">
        <f>IF(YC書式522_経費内訳書・再生医療!H6="","",YC書式522_経費内訳書・再生医療!H6)</f>
        <v>テスト</v>
      </c>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62"/>
      <c r="AJ6" s="62"/>
      <c r="AK6" s="62"/>
      <c r="AL6" s="62"/>
      <c r="AM6" s="62"/>
      <c r="AN6" s="62"/>
      <c r="AO6" s="62"/>
      <c r="AP6" s="62"/>
      <c r="AQ6" s="62"/>
      <c r="AR6" s="62"/>
    </row>
    <row r="7" spans="1:44" ht="14.25" thickBot="1" x14ac:dyDescent="0.2">
      <c r="A7" s="90"/>
      <c r="F7" s="87"/>
      <c r="G7" s="87"/>
    </row>
    <row r="8" spans="1:44" ht="19.350000000000001" customHeight="1" thickTop="1" thickBot="1" x14ac:dyDescent="0.2">
      <c r="A8" s="490" t="s">
        <v>203</v>
      </c>
      <c r="B8" s="490"/>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c r="AD8" s="490"/>
      <c r="AE8" s="490"/>
      <c r="AF8" s="490"/>
      <c r="AG8" s="490"/>
      <c r="AH8" s="490"/>
      <c r="AI8" s="122"/>
      <c r="AJ8" s="122"/>
      <c r="AK8" s="128"/>
      <c r="AL8" s="397" t="s">
        <v>424</v>
      </c>
      <c r="AM8" s="579" t="s">
        <v>425</v>
      </c>
      <c r="AN8" s="30" t="s">
        <v>426</v>
      </c>
      <c r="AO8" s="122"/>
      <c r="AP8" s="122"/>
      <c r="AQ8" s="122"/>
      <c r="AR8" s="122"/>
    </row>
    <row r="9" spans="1:44" ht="15" thickTop="1" thickBot="1" x14ac:dyDescent="0.2">
      <c r="A9" s="72"/>
      <c r="B9" s="59"/>
      <c r="C9" s="59"/>
      <c r="D9" s="59"/>
      <c r="E9" s="59"/>
      <c r="F9" s="59"/>
      <c r="G9" s="59"/>
      <c r="H9" s="59"/>
      <c r="I9" s="59"/>
      <c r="J9" s="59"/>
      <c r="K9" s="59"/>
      <c r="L9" s="59"/>
      <c r="M9" s="59"/>
      <c r="N9" s="59"/>
      <c r="O9" s="59"/>
      <c r="P9" s="59"/>
      <c r="Q9" s="92"/>
      <c r="R9" s="72"/>
      <c r="S9" s="72"/>
      <c r="T9" s="72"/>
      <c r="U9" s="92"/>
      <c r="V9" s="72"/>
      <c r="W9" s="72"/>
      <c r="X9" s="72"/>
      <c r="Y9" s="129"/>
      <c r="Z9" s="129"/>
      <c r="AA9" s="129"/>
      <c r="AB9" s="129"/>
      <c r="AC9" s="129"/>
      <c r="AD9" s="129"/>
      <c r="AK9" s="130" t="s">
        <v>407</v>
      </c>
      <c r="AL9" s="578"/>
      <c r="AM9" s="580"/>
      <c r="AN9" s="106" t="s">
        <v>427</v>
      </c>
    </row>
    <row r="10" spans="1:44" ht="40.5" customHeight="1" thickTop="1" thickBot="1" x14ac:dyDescent="0.2">
      <c r="A10" s="489" t="s">
        <v>420</v>
      </c>
      <c r="B10" s="291"/>
      <c r="C10" s="291"/>
      <c r="D10" s="291"/>
      <c r="E10" s="291"/>
      <c r="F10" s="291"/>
      <c r="G10" s="291"/>
      <c r="H10" s="558">
        <f>YC書式522_経費内訳書・再生医療!$Y$27</f>
        <v>78000</v>
      </c>
      <c r="I10" s="325"/>
      <c r="J10" s="325"/>
      <c r="K10" s="325"/>
      <c r="L10" s="325"/>
      <c r="M10" s="325"/>
      <c r="N10" s="325"/>
      <c r="O10" s="325"/>
      <c r="P10" s="325"/>
      <c r="Q10" s="325"/>
      <c r="R10" s="489" t="s">
        <v>421</v>
      </c>
      <c r="S10" s="291"/>
      <c r="T10" s="291"/>
      <c r="U10" s="291"/>
      <c r="V10" s="291"/>
      <c r="W10" s="291"/>
      <c r="X10" s="291"/>
      <c r="Y10" s="559">
        <f>IF(YC書式522_経費内訳書・再生医療!$Y$29="",YC書式522_経費内訳書・再生医療!$Y$28,YC書式522_経費内訳書・再生医療!$Y$29)</f>
        <v>0</v>
      </c>
      <c r="Z10" s="560"/>
      <c r="AA10" s="560"/>
      <c r="AB10" s="560"/>
      <c r="AC10" s="560"/>
      <c r="AD10" s="560"/>
      <c r="AE10" s="560"/>
      <c r="AF10" s="560"/>
      <c r="AG10" s="560"/>
      <c r="AH10" s="560"/>
      <c r="AI10" s="113"/>
      <c r="AJ10" s="113"/>
      <c r="AK10" s="107">
        <v>1.1000000000000001</v>
      </c>
      <c r="AL10" s="25">
        <f>YC書式522_経費内訳書・再生医療!AI48</f>
        <v>85800</v>
      </c>
      <c r="AM10" s="25">
        <f>YC書式522_経費内訳書・再生医療!AJ48</f>
        <v>99000</v>
      </c>
      <c r="AN10" s="131">
        <f>(YC書式522_経費内訳書・再生医療!$Y$30+YC書式522_経費内訳書・再生医療!$Y$33)*$AK$10</f>
        <v>79464</v>
      </c>
      <c r="AO10" s="113"/>
      <c r="AP10" s="113"/>
      <c r="AQ10" s="113"/>
      <c r="AR10" s="113"/>
    </row>
    <row r="11" spans="1:44" ht="40.5" customHeight="1" thickTop="1" x14ac:dyDescent="0.15">
      <c r="A11" s="489" t="s">
        <v>422</v>
      </c>
      <c r="B11" s="291"/>
      <c r="C11" s="291"/>
      <c r="D11" s="291"/>
      <c r="E11" s="291"/>
      <c r="F11" s="291"/>
      <c r="G11" s="291"/>
      <c r="H11" s="558">
        <f>YC書式522_経費内訳書・再生医療!$Y$30</f>
        <v>16800</v>
      </c>
      <c r="I11" s="325"/>
      <c r="J11" s="325"/>
      <c r="K11" s="325"/>
      <c r="L11" s="325"/>
      <c r="M11" s="325"/>
      <c r="N11" s="325"/>
      <c r="O11" s="325"/>
      <c r="P11" s="325"/>
      <c r="Q11" s="325"/>
      <c r="R11" s="489" t="s">
        <v>323</v>
      </c>
      <c r="S11" s="291"/>
      <c r="T11" s="291"/>
      <c r="U11" s="291"/>
      <c r="V11" s="291"/>
      <c r="W11" s="291"/>
      <c r="X11" s="291"/>
      <c r="Y11" s="559">
        <f>YC書式522_経費内訳書・再生医療!$Y$33</f>
        <v>55440</v>
      </c>
      <c r="Z11" s="560"/>
      <c r="AA11" s="560"/>
      <c r="AB11" s="560"/>
      <c r="AC11" s="560"/>
      <c r="AD11" s="560"/>
      <c r="AE11" s="560"/>
      <c r="AF11" s="560"/>
      <c r="AG11" s="560"/>
      <c r="AH11" s="560"/>
      <c r="AI11" s="113"/>
      <c r="AJ11" s="113"/>
      <c r="AO11" s="113"/>
      <c r="AP11" s="113"/>
      <c r="AQ11" s="113"/>
      <c r="AR11" s="113"/>
    </row>
    <row r="12" spans="1:44" x14ac:dyDescent="0.15">
      <c r="A12" s="96"/>
      <c r="B12" s="96"/>
      <c r="C12" s="96"/>
      <c r="D12" s="96"/>
      <c r="E12" s="96"/>
      <c r="F12" s="96"/>
      <c r="K12" s="96"/>
      <c r="L12" s="96"/>
      <c r="M12" s="96"/>
      <c r="N12" s="96"/>
      <c r="O12" s="96"/>
      <c r="P12" s="96"/>
      <c r="Q12" s="96"/>
      <c r="R12" s="96"/>
      <c r="S12" s="96"/>
      <c r="T12" s="96"/>
      <c r="U12" s="96"/>
      <c r="V12" s="96"/>
      <c r="W12" s="96"/>
      <c r="X12" s="31"/>
      <c r="Y12" s="31"/>
      <c r="Z12" s="31"/>
      <c r="AA12" s="31"/>
      <c r="AE12" s="31"/>
      <c r="AF12" s="31"/>
      <c r="AG12" s="31"/>
      <c r="AH12" s="31"/>
      <c r="AI12" s="31"/>
      <c r="AJ12" s="31"/>
      <c r="AK12" s="31"/>
      <c r="AL12" s="291" t="s">
        <v>408</v>
      </c>
      <c r="AM12" s="399" t="s">
        <v>409</v>
      </c>
      <c r="AN12" s="581" t="s">
        <v>410</v>
      </c>
      <c r="AO12" s="571"/>
      <c r="AP12" s="412" t="s">
        <v>411</v>
      </c>
      <c r="AQ12" s="582" t="s">
        <v>412</v>
      </c>
      <c r="AR12" s="31"/>
    </row>
    <row r="13" spans="1:44" ht="26.25" customHeight="1" x14ac:dyDescent="0.15">
      <c r="A13" s="489" t="s">
        <v>204</v>
      </c>
      <c r="B13" s="489"/>
      <c r="C13" s="489"/>
      <c r="D13" s="489"/>
      <c r="E13" s="489"/>
      <c r="F13" s="489"/>
      <c r="G13" s="489"/>
      <c r="H13" s="489"/>
      <c r="I13" s="489"/>
      <c r="J13" s="489"/>
      <c r="K13" s="489"/>
      <c r="L13" s="489"/>
      <c r="M13" s="489"/>
      <c r="N13" s="489"/>
      <c r="O13" s="489"/>
      <c r="P13" s="489"/>
      <c r="Q13" s="489"/>
      <c r="R13" s="489" t="s">
        <v>205</v>
      </c>
      <c r="S13" s="489"/>
      <c r="T13" s="489"/>
      <c r="U13" s="489"/>
      <c r="V13" s="489"/>
      <c r="W13" s="489"/>
      <c r="X13" s="489"/>
      <c r="Y13" s="583" t="s">
        <v>215</v>
      </c>
      <c r="Z13" s="583"/>
      <c r="AA13" s="583"/>
      <c r="AB13" s="583"/>
      <c r="AC13" s="583"/>
      <c r="AD13" s="583"/>
      <c r="AE13" s="583"/>
      <c r="AF13" s="583"/>
      <c r="AG13" s="583"/>
      <c r="AH13" s="583"/>
      <c r="AI13" s="32"/>
      <c r="AJ13" s="32"/>
      <c r="AK13" s="132" t="s">
        <v>428</v>
      </c>
      <c r="AL13" s="291"/>
      <c r="AM13" s="400"/>
      <c r="AN13" s="108" t="s">
        <v>414</v>
      </c>
      <c r="AO13" s="109" t="s">
        <v>415</v>
      </c>
      <c r="AP13" s="412"/>
      <c r="AQ13" s="266"/>
      <c r="AR13" s="32"/>
    </row>
    <row r="14" spans="1:44" ht="28.5" customHeight="1" x14ac:dyDescent="0.15">
      <c r="A14" s="291" t="s">
        <v>227</v>
      </c>
      <c r="B14" s="291"/>
      <c r="C14" s="556" t="s">
        <v>423</v>
      </c>
      <c r="D14" s="556"/>
      <c r="E14" s="556"/>
      <c r="F14" s="556"/>
      <c r="G14" s="556"/>
      <c r="H14" s="556"/>
      <c r="I14" s="556"/>
      <c r="J14" s="556"/>
      <c r="K14" s="556"/>
      <c r="L14" s="556"/>
      <c r="M14" s="556"/>
      <c r="N14" s="556"/>
      <c r="O14" s="556"/>
      <c r="P14" s="556"/>
      <c r="Q14" s="556"/>
      <c r="R14" s="557">
        <v>0.3</v>
      </c>
      <c r="S14" s="557"/>
      <c r="T14" s="557"/>
      <c r="U14" s="557"/>
      <c r="V14" s="557"/>
      <c r="W14" s="557"/>
      <c r="X14" s="557"/>
      <c r="Y14" s="584">
        <f>IF($Y$33="","",ROUNDDOWN($Y$33*R14,0))</f>
        <v>72072</v>
      </c>
      <c r="Z14" s="585"/>
      <c r="AA14" s="585"/>
      <c r="AB14" s="585"/>
      <c r="AC14" s="585"/>
      <c r="AD14" s="585"/>
      <c r="AE14" s="585"/>
      <c r="AF14" s="133" t="str">
        <f>IF(Y33-AC30=0,"","+")</f>
        <v/>
      </c>
      <c r="AG14" s="575" t="str">
        <f>IF(Y33-AC30=0,"",Y33-AC30)</f>
        <v/>
      </c>
      <c r="AH14" s="586"/>
      <c r="AI14" s="33"/>
      <c r="AJ14" s="34" t="str">
        <f>C14</f>
        <v>例）VISIT 1　達成時</v>
      </c>
      <c r="AK14" s="35">
        <f>IF(AG14="",ROUNDDOWN(Y14*$AK$10,0),ROUNDDOWN((Y14+AG14)*$AK$10,0))</f>
        <v>79279</v>
      </c>
      <c r="AL14" s="36">
        <f>IF(AL31=0,INT($AL$10*R14),SUM(AL30:AL31))</f>
        <v>25740</v>
      </c>
      <c r="AM14" s="36">
        <f>IF(AM31=0,INT($AM$10*R14),SUM(AM30:AM31))</f>
        <v>29700</v>
      </c>
      <c r="AN14" s="37">
        <f>INT(AK14*0.01)</f>
        <v>792</v>
      </c>
      <c r="AO14" s="38">
        <f>AN14*4</f>
        <v>3168</v>
      </c>
      <c r="AP14" s="37">
        <f>AK14-(AL14+AM14+AO14)</f>
        <v>20671</v>
      </c>
      <c r="AQ14" s="39">
        <f>AM14+AP14</f>
        <v>50371</v>
      </c>
      <c r="AR14" s="33"/>
    </row>
    <row r="15" spans="1:44" ht="28.5" customHeight="1" x14ac:dyDescent="0.15">
      <c r="A15" s="291" t="s">
        <v>228</v>
      </c>
      <c r="B15" s="291"/>
      <c r="C15" s="556" t="s">
        <v>206</v>
      </c>
      <c r="D15" s="556"/>
      <c r="E15" s="556"/>
      <c r="F15" s="556"/>
      <c r="G15" s="556"/>
      <c r="H15" s="556"/>
      <c r="I15" s="556"/>
      <c r="J15" s="556"/>
      <c r="K15" s="556"/>
      <c r="L15" s="556"/>
      <c r="M15" s="556"/>
      <c r="N15" s="556"/>
      <c r="O15" s="556"/>
      <c r="P15" s="556"/>
      <c r="Q15" s="556"/>
      <c r="R15" s="557">
        <v>0.2</v>
      </c>
      <c r="S15" s="557"/>
      <c r="T15" s="557"/>
      <c r="U15" s="557"/>
      <c r="V15" s="557"/>
      <c r="W15" s="557"/>
      <c r="X15" s="557"/>
      <c r="Y15" s="562">
        <f>IF($Y$33="","",ROUNDDOWN($Y$33*R15,0))</f>
        <v>48048</v>
      </c>
      <c r="Z15" s="562"/>
      <c r="AA15" s="562"/>
      <c r="AB15" s="562"/>
      <c r="AC15" s="562"/>
      <c r="AD15" s="562"/>
      <c r="AE15" s="562"/>
      <c r="AF15" s="562"/>
      <c r="AG15" s="562"/>
      <c r="AH15" s="562"/>
      <c r="AI15" s="40"/>
      <c r="AJ15" s="34" t="str">
        <f t="shared" ref="AJ15:AJ29" si="0">C15</f>
        <v>VISIT 3　達成時</v>
      </c>
      <c r="AK15" s="35">
        <f t="shared" ref="AK15:AK29" si="1">ROUNDDOWN(Y15*$AK$10,0)</f>
        <v>52852</v>
      </c>
      <c r="AL15" s="36">
        <f>INT($AL$10*R15)</f>
        <v>17160</v>
      </c>
      <c r="AM15" s="36">
        <f>INT($AM$10*R15)</f>
        <v>19800</v>
      </c>
      <c r="AN15" s="37">
        <f t="shared" ref="AN15:AN29" si="2">INT(AK15*0.01)</f>
        <v>528</v>
      </c>
      <c r="AO15" s="38">
        <f>AN15*4</f>
        <v>2112</v>
      </c>
      <c r="AP15" s="37">
        <f t="shared" ref="AP15:AP29" si="3">AK15-(AL15+AM15+AO15)</f>
        <v>13780</v>
      </c>
      <c r="AQ15" s="39">
        <f t="shared" ref="AQ15:AQ29" si="4">AM15+AP15</f>
        <v>33580</v>
      </c>
      <c r="AR15" s="40"/>
    </row>
    <row r="16" spans="1:44" ht="28.5" customHeight="1" x14ac:dyDescent="0.15">
      <c r="A16" s="291" t="s">
        <v>229</v>
      </c>
      <c r="B16" s="291"/>
      <c r="C16" s="556" t="s">
        <v>207</v>
      </c>
      <c r="D16" s="556"/>
      <c r="E16" s="556"/>
      <c r="F16" s="556"/>
      <c r="G16" s="556"/>
      <c r="H16" s="556"/>
      <c r="I16" s="556"/>
      <c r="J16" s="556"/>
      <c r="K16" s="556"/>
      <c r="L16" s="556"/>
      <c r="M16" s="556"/>
      <c r="N16" s="556"/>
      <c r="O16" s="556"/>
      <c r="P16" s="556"/>
      <c r="Q16" s="556"/>
      <c r="R16" s="557">
        <v>0.2</v>
      </c>
      <c r="S16" s="557"/>
      <c r="T16" s="557"/>
      <c r="U16" s="557"/>
      <c r="V16" s="557"/>
      <c r="W16" s="557"/>
      <c r="X16" s="557"/>
      <c r="Y16" s="562">
        <f t="shared" ref="Y16:Y29" si="5">IF($Y$33="","",ROUNDDOWN($Y$33*R16,0))</f>
        <v>48048</v>
      </c>
      <c r="Z16" s="562"/>
      <c r="AA16" s="562"/>
      <c r="AB16" s="562"/>
      <c r="AC16" s="562"/>
      <c r="AD16" s="562"/>
      <c r="AE16" s="562"/>
      <c r="AF16" s="562"/>
      <c r="AG16" s="562"/>
      <c r="AH16" s="562"/>
      <c r="AI16" s="40"/>
      <c r="AJ16" s="34" t="str">
        <f t="shared" si="0"/>
        <v>VISIT 5　達成時</v>
      </c>
      <c r="AK16" s="35">
        <f t="shared" si="1"/>
        <v>52852</v>
      </c>
      <c r="AL16" s="36">
        <f t="shared" ref="AL16:AL29" si="6">INT($AL$10*R16)</f>
        <v>17160</v>
      </c>
      <c r="AM16" s="36">
        <f>INT($AM$10*R16)</f>
        <v>19800</v>
      </c>
      <c r="AN16" s="37">
        <f t="shared" si="2"/>
        <v>528</v>
      </c>
      <c r="AO16" s="38">
        <f t="shared" ref="AO16:AO29" si="7">AN16*4</f>
        <v>2112</v>
      </c>
      <c r="AP16" s="37">
        <f t="shared" si="3"/>
        <v>13780</v>
      </c>
      <c r="AQ16" s="39">
        <f t="shared" si="4"/>
        <v>33580</v>
      </c>
      <c r="AR16" s="40"/>
    </row>
    <row r="17" spans="1:44" ht="28.5" customHeight="1" x14ac:dyDescent="0.15">
      <c r="A17" s="291" t="s">
        <v>230</v>
      </c>
      <c r="B17" s="291"/>
      <c r="C17" s="556" t="s">
        <v>208</v>
      </c>
      <c r="D17" s="556"/>
      <c r="E17" s="556"/>
      <c r="F17" s="556"/>
      <c r="G17" s="556"/>
      <c r="H17" s="556"/>
      <c r="I17" s="556"/>
      <c r="J17" s="556"/>
      <c r="K17" s="556"/>
      <c r="L17" s="556"/>
      <c r="M17" s="556"/>
      <c r="N17" s="556"/>
      <c r="O17" s="556"/>
      <c r="P17" s="556"/>
      <c r="Q17" s="556"/>
      <c r="R17" s="557">
        <v>0.15</v>
      </c>
      <c r="S17" s="557"/>
      <c r="T17" s="557"/>
      <c r="U17" s="557"/>
      <c r="V17" s="557"/>
      <c r="W17" s="557"/>
      <c r="X17" s="557"/>
      <c r="Y17" s="562">
        <f t="shared" si="5"/>
        <v>36036</v>
      </c>
      <c r="Z17" s="562"/>
      <c r="AA17" s="562"/>
      <c r="AB17" s="562"/>
      <c r="AC17" s="562"/>
      <c r="AD17" s="562"/>
      <c r="AE17" s="562"/>
      <c r="AF17" s="562"/>
      <c r="AG17" s="562"/>
      <c r="AH17" s="562"/>
      <c r="AI17" s="40"/>
      <c r="AJ17" s="34" t="str">
        <f t="shared" si="0"/>
        <v>VISIT 7　達成時</v>
      </c>
      <c r="AK17" s="35">
        <f t="shared" si="1"/>
        <v>39639</v>
      </c>
      <c r="AL17" s="36">
        <f t="shared" si="6"/>
        <v>12870</v>
      </c>
      <c r="AM17" s="36">
        <f>INT($AM$10*R17)</f>
        <v>14850</v>
      </c>
      <c r="AN17" s="37">
        <f t="shared" si="2"/>
        <v>396</v>
      </c>
      <c r="AO17" s="38">
        <f t="shared" si="7"/>
        <v>1584</v>
      </c>
      <c r="AP17" s="37">
        <f t="shared" si="3"/>
        <v>10335</v>
      </c>
      <c r="AQ17" s="39">
        <f t="shared" si="4"/>
        <v>25185</v>
      </c>
      <c r="AR17" s="40"/>
    </row>
    <row r="18" spans="1:44" ht="28.5" customHeight="1" x14ac:dyDescent="0.15">
      <c r="A18" s="291" t="s">
        <v>231</v>
      </c>
      <c r="B18" s="291"/>
      <c r="C18" s="556" t="s">
        <v>209</v>
      </c>
      <c r="D18" s="556"/>
      <c r="E18" s="556"/>
      <c r="F18" s="556"/>
      <c r="G18" s="556"/>
      <c r="H18" s="556"/>
      <c r="I18" s="556"/>
      <c r="J18" s="556"/>
      <c r="K18" s="556"/>
      <c r="L18" s="556"/>
      <c r="M18" s="556"/>
      <c r="N18" s="556"/>
      <c r="O18" s="556"/>
      <c r="P18" s="556"/>
      <c r="Q18" s="556"/>
      <c r="R18" s="557">
        <v>0.15</v>
      </c>
      <c r="S18" s="557"/>
      <c r="T18" s="557"/>
      <c r="U18" s="557"/>
      <c r="V18" s="557"/>
      <c r="W18" s="557"/>
      <c r="X18" s="557"/>
      <c r="Y18" s="562">
        <f t="shared" si="5"/>
        <v>36036</v>
      </c>
      <c r="Z18" s="562"/>
      <c r="AA18" s="562"/>
      <c r="AB18" s="562"/>
      <c r="AC18" s="562"/>
      <c r="AD18" s="562"/>
      <c r="AE18" s="562"/>
      <c r="AF18" s="562"/>
      <c r="AG18" s="562"/>
      <c r="AH18" s="562"/>
      <c r="AI18" s="40"/>
      <c r="AJ18" s="34" t="str">
        <f t="shared" si="0"/>
        <v>VISIT 10　達成時</v>
      </c>
      <c r="AK18" s="35">
        <f t="shared" si="1"/>
        <v>39639</v>
      </c>
      <c r="AL18" s="36">
        <f t="shared" si="6"/>
        <v>12870</v>
      </c>
      <c r="AM18" s="36">
        <f>INT($AM$10*R18)</f>
        <v>14850</v>
      </c>
      <c r="AN18" s="37">
        <f t="shared" si="2"/>
        <v>396</v>
      </c>
      <c r="AO18" s="38">
        <f t="shared" si="7"/>
        <v>1584</v>
      </c>
      <c r="AP18" s="37">
        <f t="shared" si="3"/>
        <v>10335</v>
      </c>
      <c r="AQ18" s="39">
        <f t="shared" si="4"/>
        <v>25185</v>
      </c>
      <c r="AR18" s="40"/>
    </row>
    <row r="19" spans="1:44" ht="28.5" customHeight="1" x14ac:dyDescent="0.15">
      <c r="A19" s="291" t="s">
        <v>232</v>
      </c>
      <c r="B19" s="291"/>
      <c r="C19" s="471"/>
      <c r="D19" s="471"/>
      <c r="E19" s="471"/>
      <c r="F19" s="471"/>
      <c r="G19" s="471"/>
      <c r="H19" s="471"/>
      <c r="I19" s="471"/>
      <c r="J19" s="471"/>
      <c r="K19" s="471"/>
      <c r="L19" s="471"/>
      <c r="M19" s="471"/>
      <c r="N19" s="471"/>
      <c r="O19" s="471"/>
      <c r="P19" s="471"/>
      <c r="Q19" s="471"/>
      <c r="R19" s="555"/>
      <c r="S19" s="555"/>
      <c r="T19" s="555"/>
      <c r="U19" s="555"/>
      <c r="V19" s="555"/>
      <c r="W19" s="555"/>
      <c r="X19" s="555"/>
      <c r="Y19" s="562">
        <f t="shared" si="5"/>
        <v>0</v>
      </c>
      <c r="Z19" s="562"/>
      <c r="AA19" s="562"/>
      <c r="AB19" s="562"/>
      <c r="AC19" s="562"/>
      <c r="AD19" s="562"/>
      <c r="AE19" s="562"/>
      <c r="AF19" s="562"/>
      <c r="AG19" s="562"/>
      <c r="AH19" s="562"/>
      <c r="AI19" s="40"/>
      <c r="AJ19" s="34">
        <f t="shared" si="0"/>
        <v>0</v>
      </c>
      <c r="AK19" s="35">
        <f t="shared" si="1"/>
        <v>0</v>
      </c>
      <c r="AL19" s="36">
        <f t="shared" si="6"/>
        <v>0</v>
      </c>
      <c r="AM19" s="36">
        <f t="shared" ref="AM19:AM29" si="8">INT($AM$10*R19)</f>
        <v>0</v>
      </c>
      <c r="AN19" s="37">
        <f t="shared" si="2"/>
        <v>0</v>
      </c>
      <c r="AO19" s="38">
        <f t="shared" si="7"/>
        <v>0</v>
      </c>
      <c r="AP19" s="37">
        <f t="shared" si="3"/>
        <v>0</v>
      </c>
      <c r="AQ19" s="39">
        <f t="shared" si="4"/>
        <v>0</v>
      </c>
      <c r="AR19" s="40"/>
    </row>
    <row r="20" spans="1:44" ht="28.5" customHeight="1" x14ac:dyDescent="0.15">
      <c r="A20" s="291" t="s">
        <v>233</v>
      </c>
      <c r="B20" s="291"/>
      <c r="C20" s="471"/>
      <c r="D20" s="471"/>
      <c r="E20" s="471"/>
      <c r="F20" s="471"/>
      <c r="G20" s="471"/>
      <c r="H20" s="471"/>
      <c r="I20" s="471"/>
      <c r="J20" s="471"/>
      <c r="K20" s="471"/>
      <c r="L20" s="471"/>
      <c r="M20" s="471"/>
      <c r="N20" s="471"/>
      <c r="O20" s="471"/>
      <c r="P20" s="471"/>
      <c r="Q20" s="471"/>
      <c r="R20" s="555"/>
      <c r="S20" s="555"/>
      <c r="T20" s="555"/>
      <c r="U20" s="555"/>
      <c r="V20" s="555"/>
      <c r="W20" s="555"/>
      <c r="X20" s="555"/>
      <c r="Y20" s="562">
        <f t="shared" si="5"/>
        <v>0</v>
      </c>
      <c r="Z20" s="562"/>
      <c r="AA20" s="562"/>
      <c r="AB20" s="562"/>
      <c r="AC20" s="562"/>
      <c r="AD20" s="562"/>
      <c r="AE20" s="562"/>
      <c r="AF20" s="562"/>
      <c r="AG20" s="562"/>
      <c r="AH20" s="562"/>
      <c r="AI20" s="40"/>
      <c r="AJ20" s="34">
        <f t="shared" si="0"/>
        <v>0</v>
      </c>
      <c r="AK20" s="35">
        <f t="shared" si="1"/>
        <v>0</v>
      </c>
      <c r="AL20" s="36">
        <f t="shared" si="6"/>
        <v>0</v>
      </c>
      <c r="AM20" s="36">
        <f t="shared" si="8"/>
        <v>0</v>
      </c>
      <c r="AN20" s="37">
        <f t="shared" si="2"/>
        <v>0</v>
      </c>
      <c r="AO20" s="38">
        <f t="shared" si="7"/>
        <v>0</v>
      </c>
      <c r="AP20" s="37">
        <f t="shared" si="3"/>
        <v>0</v>
      </c>
      <c r="AQ20" s="39">
        <f t="shared" si="4"/>
        <v>0</v>
      </c>
      <c r="AR20" s="40"/>
    </row>
    <row r="21" spans="1:44" ht="28.5" customHeight="1" x14ac:dyDescent="0.15">
      <c r="A21" s="291" t="s">
        <v>234</v>
      </c>
      <c r="B21" s="291"/>
      <c r="C21" s="471"/>
      <c r="D21" s="471"/>
      <c r="E21" s="471"/>
      <c r="F21" s="471"/>
      <c r="G21" s="471"/>
      <c r="H21" s="471"/>
      <c r="I21" s="471"/>
      <c r="J21" s="471"/>
      <c r="K21" s="471"/>
      <c r="L21" s="471"/>
      <c r="M21" s="471"/>
      <c r="N21" s="471"/>
      <c r="O21" s="471"/>
      <c r="P21" s="471"/>
      <c r="Q21" s="471"/>
      <c r="R21" s="555"/>
      <c r="S21" s="555"/>
      <c r="T21" s="555"/>
      <c r="U21" s="555"/>
      <c r="V21" s="555"/>
      <c r="W21" s="555"/>
      <c r="X21" s="555"/>
      <c r="Y21" s="562">
        <f t="shared" si="5"/>
        <v>0</v>
      </c>
      <c r="Z21" s="562"/>
      <c r="AA21" s="562"/>
      <c r="AB21" s="562"/>
      <c r="AC21" s="562"/>
      <c r="AD21" s="562"/>
      <c r="AE21" s="562"/>
      <c r="AF21" s="562"/>
      <c r="AG21" s="562"/>
      <c r="AH21" s="562"/>
      <c r="AI21" s="40"/>
      <c r="AJ21" s="34">
        <f t="shared" si="0"/>
        <v>0</v>
      </c>
      <c r="AK21" s="35">
        <f t="shared" si="1"/>
        <v>0</v>
      </c>
      <c r="AL21" s="36">
        <f t="shared" si="6"/>
        <v>0</v>
      </c>
      <c r="AM21" s="36">
        <f t="shared" si="8"/>
        <v>0</v>
      </c>
      <c r="AN21" s="37">
        <f t="shared" si="2"/>
        <v>0</v>
      </c>
      <c r="AO21" s="38">
        <f t="shared" si="7"/>
        <v>0</v>
      </c>
      <c r="AP21" s="37">
        <f t="shared" si="3"/>
        <v>0</v>
      </c>
      <c r="AQ21" s="39">
        <f t="shared" si="4"/>
        <v>0</v>
      </c>
      <c r="AR21" s="40"/>
    </row>
    <row r="22" spans="1:44" ht="28.5" customHeight="1" x14ac:dyDescent="0.15">
      <c r="A22" s="291" t="s">
        <v>235</v>
      </c>
      <c r="B22" s="291"/>
      <c r="C22" s="471"/>
      <c r="D22" s="471"/>
      <c r="E22" s="471"/>
      <c r="F22" s="471"/>
      <c r="G22" s="471"/>
      <c r="H22" s="471"/>
      <c r="I22" s="471"/>
      <c r="J22" s="471"/>
      <c r="K22" s="471"/>
      <c r="L22" s="471"/>
      <c r="M22" s="471"/>
      <c r="N22" s="471"/>
      <c r="O22" s="471"/>
      <c r="P22" s="471"/>
      <c r="Q22" s="471"/>
      <c r="R22" s="555"/>
      <c r="S22" s="555"/>
      <c r="T22" s="555"/>
      <c r="U22" s="555"/>
      <c r="V22" s="555"/>
      <c r="W22" s="555"/>
      <c r="X22" s="555"/>
      <c r="Y22" s="562">
        <f t="shared" si="5"/>
        <v>0</v>
      </c>
      <c r="Z22" s="562"/>
      <c r="AA22" s="562"/>
      <c r="AB22" s="562"/>
      <c r="AC22" s="562"/>
      <c r="AD22" s="562"/>
      <c r="AE22" s="562"/>
      <c r="AF22" s="562"/>
      <c r="AG22" s="562"/>
      <c r="AH22" s="562"/>
      <c r="AI22" s="40"/>
      <c r="AJ22" s="34">
        <f t="shared" si="0"/>
        <v>0</v>
      </c>
      <c r="AK22" s="35">
        <f t="shared" si="1"/>
        <v>0</v>
      </c>
      <c r="AL22" s="36">
        <f t="shared" si="6"/>
        <v>0</v>
      </c>
      <c r="AM22" s="36">
        <f t="shared" si="8"/>
        <v>0</v>
      </c>
      <c r="AN22" s="37">
        <f t="shared" si="2"/>
        <v>0</v>
      </c>
      <c r="AO22" s="38">
        <f t="shared" si="7"/>
        <v>0</v>
      </c>
      <c r="AP22" s="37">
        <f t="shared" si="3"/>
        <v>0</v>
      </c>
      <c r="AQ22" s="39">
        <f t="shared" si="4"/>
        <v>0</v>
      </c>
      <c r="AR22" s="40"/>
    </row>
    <row r="23" spans="1:44" ht="28.5" customHeight="1" x14ac:dyDescent="0.15">
      <c r="A23" s="291" t="s">
        <v>236</v>
      </c>
      <c r="B23" s="291"/>
      <c r="C23" s="471"/>
      <c r="D23" s="471"/>
      <c r="E23" s="471"/>
      <c r="F23" s="471"/>
      <c r="G23" s="471"/>
      <c r="H23" s="471"/>
      <c r="I23" s="471"/>
      <c r="J23" s="471"/>
      <c r="K23" s="471"/>
      <c r="L23" s="471"/>
      <c r="M23" s="471"/>
      <c r="N23" s="471"/>
      <c r="O23" s="471"/>
      <c r="P23" s="471"/>
      <c r="Q23" s="471"/>
      <c r="R23" s="555"/>
      <c r="S23" s="555"/>
      <c r="T23" s="555"/>
      <c r="U23" s="555"/>
      <c r="V23" s="555"/>
      <c r="W23" s="555"/>
      <c r="X23" s="555"/>
      <c r="Y23" s="562">
        <f t="shared" si="5"/>
        <v>0</v>
      </c>
      <c r="Z23" s="562"/>
      <c r="AA23" s="562"/>
      <c r="AB23" s="562"/>
      <c r="AC23" s="562"/>
      <c r="AD23" s="562"/>
      <c r="AE23" s="562"/>
      <c r="AF23" s="562"/>
      <c r="AG23" s="562"/>
      <c r="AH23" s="562"/>
      <c r="AI23" s="40"/>
      <c r="AJ23" s="34">
        <f t="shared" si="0"/>
        <v>0</v>
      </c>
      <c r="AK23" s="35">
        <f t="shared" si="1"/>
        <v>0</v>
      </c>
      <c r="AL23" s="36">
        <f t="shared" si="6"/>
        <v>0</v>
      </c>
      <c r="AM23" s="36">
        <f t="shared" si="8"/>
        <v>0</v>
      </c>
      <c r="AN23" s="37">
        <f t="shared" si="2"/>
        <v>0</v>
      </c>
      <c r="AO23" s="38">
        <f t="shared" si="7"/>
        <v>0</v>
      </c>
      <c r="AP23" s="37">
        <f t="shared" si="3"/>
        <v>0</v>
      </c>
      <c r="AQ23" s="39">
        <f t="shared" si="4"/>
        <v>0</v>
      </c>
      <c r="AR23" s="40"/>
    </row>
    <row r="24" spans="1:44" ht="28.5" customHeight="1" x14ac:dyDescent="0.15">
      <c r="A24" s="291" t="s">
        <v>237</v>
      </c>
      <c r="B24" s="291"/>
      <c r="C24" s="471"/>
      <c r="D24" s="471"/>
      <c r="E24" s="471"/>
      <c r="F24" s="471"/>
      <c r="G24" s="471"/>
      <c r="H24" s="471"/>
      <c r="I24" s="471"/>
      <c r="J24" s="471"/>
      <c r="K24" s="471"/>
      <c r="L24" s="471"/>
      <c r="M24" s="471"/>
      <c r="N24" s="471"/>
      <c r="O24" s="471"/>
      <c r="P24" s="471"/>
      <c r="Q24" s="471"/>
      <c r="R24" s="555"/>
      <c r="S24" s="555"/>
      <c r="T24" s="555"/>
      <c r="U24" s="555"/>
      <c r="V24" s="555"/>
      <c r="W24" s="555"/>
      <c r="X24" s="555"/>
      <c r="Y24" s="562">
        <f t="shared" si="5"/>
        <v>0</v>
      </c>
      <c r="Z24" s="562"/>
      <c r="AA24" s="562"/>
      <c r="AB24" s="562"/>
      <c r="AC24" s="562"/>
      <c r="AD24" s="562"/>
      <c r="AE24" s="562"/>
      <c r="AF24" s="562"/>
      <c r="AG24" s="562"/>
      <c r="AH24" s="562"/>
      <c r="AI24" s="40"/>
      <c r="AJ24" s="34">
        <f t="shared" si="0"/>
        <v>0</v>
      </c>
      <c r="AK24" s="35">
        <f t="shared" si="1"/>
        <v>0</v>
      </c>
      <c r="AL24" s="36">
        <f t="shared" si="6"/>
        <v>0</v>
      </c>
      <c r="AM24" s="36">
        <f t="shared" si="8"/>
        <v>0</v>
      </c>
      <c r="AN24" s="37">
        <f t="shared" si="2"/>
        <v>0</v>
      </c>
      <c r="AO24" s="38">
        <f t="shared" si="7"/>
        <v>0</v>
      </c>
      <c r="AP24" s="37">
        <f t="shared" si="3"/>
        <v>0</v>
      </c>
      <c r="AQ24" s="39">
        <f t="shared" si="4"/>
        <v>0</v>
      </c>
      <c r="AR24" s="40"/>
    </row>
    <row r="25" spans="1:44" ht="28.5" customHeight="1" x14ac:dyDescent="0.15">
      <c r="A25" s="291" t="s">
        <v>238</v>
      </c>
      <c r="B25" s="291"/>
      <c r="C25" s="471"/>
      <c r="D25" s="471"/>
      <c r="E25" s="471"/>
      <c r="F25" s="471"/>
      <c r="G25" s="471"/>
      <c r="H25" s="471"/>
      <c r="I25" s="471"/>
      <c r="J25" s="471"/>
      <c r="K25" s="471"/>
      <c r="L25" s="471"/>
      <c r="M25" s="471"/>
      <c r="N25" s="471"/>
      <c r="O25" s="471"/>
      <c r="P25" s="471"/>
      <c r="Q25" s="471"/>
      <c r="R25" s="555"/>
      <c r="S25" s="555"/>
      <c r="T25" s="555"/>
      <c r="U25" s="555"/>
      <c r="V25" s="555"/>
      <c r="W25" s="555"/>
      <c r="X25" s="555"/>
      <c r="Y25" s="562">
        <f t="shared" si="5"/>
        <v>0</v>
      </c>
      <c r="Z25" s="562"/>
      <c r="AA25" s="562"/>
      <c r="AB25" s="562"/>
      <c r="AC25" s="562"/>
      <c r="AD25" s="562"/>
      <c r="AE25" s="562"/>
      <c r="AF25" s="562"/>
      <c r="AG25" s="562"/>
      <c r="AH25" s="562"/>
      <c r="AI25" s="40"/>
      <c r="AJ25" s="34">
        <f t="shared" si="0"/>
        <v>0</v>
      </c>
      <c r="AK25" s="35">
        <f t="shared" si="1"/>
        <v>0</v>
      </c>
      <c r="AL25" s="36">
        <f t="shared" si="6"/>
        <v>0</v>
      </c>
      <c r="AM25" s="36">
        <f t="shared" si="8"/>
        <v>0</v>
      </c>
      <c r="AN25" s="37">
        <f t="shared" si="2"/>
        <v>0</v>
      </c>
      <c r="AO25" s="38">
        <f t="shared" si="7"/>
        <v>0</v>
      </c>
      <c r="AP25" s="37">
        <f t="shared" si="3"/>
        <v>0</v>
      </c>
      <c r="AQ25" s="39">
        <f t="shared" si="4"/>
        <v>0</v>
      </c>
      <c r="AR25" s="40"/>
    </row>
    <row r="26" spans="1:44" ht="28.5" customHeight="1" x14ac:dyDescent="0.15">
      <c r="A26" s="291" t="s">
        <v>239</v>
      </c>
      <c r="B26" s="291"/>
      <c r="C26" s="471"/>
      <c r="D26" s="471"/>
      <c r="E26" s="471"/>
      <c r="F26" s="471"/>
      <c r="G26" s="471"/>
      <c r="H26" s="471"/>
      <c r="I26" s="471"/>
      <c r="J26" s="471"/>
      <c r="K26" s="471"/>
      <c r="L26" s="471"/>
      <c r="M26" s="471"/>
      <c r="N26" s="471"/>
      <c r="O26" s="471"/>
      <c r="P26" s="471"/>
      <c r="Q26" s="471"/>
      <c r="R26" s="555"/>
      <c r="S26" s="555"/>
      <c r="T26" s="555"/>
      <c r="U26" s="555"/>
      <c r="V26" s="555"/>
      <c r="W26" s="555"/>
      <c r="X26" s="555"/>
      <c r="Y26" s="562">
        <f t="shared" si="5"/>
        <v>0</v>
      </c>
      <c r="Z26" s="562"/>
      <c r="AA26" s="562"/>
      <c r="AB26" s="562"/>
      <c r="AC26" s="562"/>
      <c r="AD26" s="562"/>
      <c r="AE26" s="562"/>
      <c r="AF26" s="562"/>
      <c r="AG26" s="562"/>
      <c r="AH26" s="562"/>
      <c r="AI26" s="40"/>
      <c r="AJ26" s="34">
        <f t="shared" si="0"/>
        <v>0</v>
      </c>
      <c r="AK26" s="35">
        <f t="shared" si="1"/>
        <v>0</v>
      </c>
      <c r="AL26" s="36">
        <f t="shared" si="6"/>
        <v>0</v>
      </c>
      <c r="AM26" s="36">
        <f t="shared" si="8"/>
        <v>0</v>
      </c>
      <c r="AN26" s="37">
        <f t="shared" si="2"/>
        <v>0</v>
      </c>
      <c r="AO26" s="38">
        <f t="shared" si="7"/>
        <v>0</v>
      </c>
      <c r="AP26" s="37">
        <f t="shared" si="3"/>
        <v>0</v>
      </c>
      <c r="AQ26" s="39">
        <f t="shared" si="4"/>
        <v>0</v>
      </c>
      <c r="AR26" s="40"/>
    </row>
    <row r="27" spans="1:44" ht="28.5" customHeight="1" x14ac:dyDescent="0.15">
      <c r="A27" s="291" t="s">
        <v>240</v>
      </c>
      <c r="B27" s="291"/>
      <c r="C27" s="471"/>
      <c r="D27" s="471"/>
      <c r="E27" s="471"/>
      <c r="F27" s="471"/>
      <c r="G27" s="471"/>
      <c r="H27" s="471"/>
      <c r="I27" s="471"/>
      <c r="J27" s="471"/>
      <c r="K27" s="471"/>
      <c r="L27" s="471"/>
      <c r="M27" s="471"/>
      <c r="N27" s="471"/>
      <c r="O27" s="471"/>
      <c r="P27" s="471"/>
      <c r="Q27" s="471"/>
      <c r="R27" s="555"/>
      <c r="S27" s="555"/>
      <c r="T27" s="555"/>
      <c r="U27" s="555"/>
      <c r="V27" s="555"/>
      <c r="W27" s="555"/>
      <c r="X27" s="555"/>
      <c r="Y27" s="562">
        <f t="shared" si="5"/>
        <v>0</v>
      </c>
      <c r="Z27" s="562"/>
      <c r="AA27" s="562"/>
      <c r="AB27" s="562"/>
      <c r="AC27" s="562"/>
      <c r="AD27" s="562"/>
      <c r="AE27" s="562"/>
      <c r="AF27" s="562"/>
      <c r="AG27" s="562"/>
      <c r="AH27" s="562"/>
      <c r="AI27" s="40"/>
      <c r="AJ27" s="34">
        <f t="shared" si="0"/>
        <v>0</v>
      </c>
      <c r="AK27" s="35">
        <f t="shared" si="1"/>
        <v>0</v>
      </c>
      <c r="AL27" s="36">
        <f t="shared" si="6"/>
        <v>0</v>
      </c>
      <c r="AM27" s="36">
        <f t="shared" si="8"/>
        <v>0</v>
      </c>
      <c r="AN27" s="37">
        <f t="shared" si="2"/>
        <v>0</v>
      </c>
      <c r="AO27" s="38">
        <f t="shared" si="7"/>
        <v>0</v>
      </c>
      <c r="AP27" s="37">
        <f t="shared" si="3"/>
        <v>0</v>
      </c>
      <c r="AQ27" s="39">
        <f t="shared" si="4"/>
        <v>0</v>
      </c>
      <c r="AR27" s="40"/>
    </row>
    <row r="28" spans="1:44" ht="28.5" customHeight="1" x14ac:dyDescent="0.15">
      <c r="A28" s="291" t="s">
        <v>241</v>
      </c>
      <c r="B28" s="291"/>
      <c r="C28" s="471"/>
      <c r="D28" s="471"/>
      <c r="E28" s="471"/>
      <c r="F28" s="471"/>
      <c r="G28" s="471"/>
      <c r="H28" s="471"/>
      <c r="I28" s="471"/>
      <c r="J28" s="471"/>
      <c r="K28" s="471"/>
      <c r="L28" s="471"/>
      <c r="M28" s="471"/>
      <c r="N28" s="471"/>
      <c r="O28" s="471"/>
      <c r="P28" s="471"/>
      <c r="Q28" s="471"/>
      <c r="R28" s="555"/>
      <c r="S28" s="555"/>
      <c r="T28" s="555"/>
      <c r="U28" s="555"/>
      <c r="V28" s="555"/>
      <c r="W28" s="555"/>
      <c r="X28" s="555"/>
      <c r="Y28" s="562">
        <f t="shared" si="5"/>
        <v>0</v>
      </c>
      <c r="Z28" s="562"/>
      <c r="AA28" s="562"/>
      <c r="AB28" s="562"/>
      <c r="AC28" s="562"/>
      <c r="AD28" s="562"/>
      <c r="AE28" s="562"/>
      <c r="AF28" s="562"/>
      <c r="AG28" s="562"/>
      <c r="AH28" s="562"/>
      <c r="AI28" s="40"/>
      <c r="AJ28" s="34">
        <f t="shared" si="0"/>
        <v>0</v>
      </c>
      <c r="AK28" s="35">
        <f t="shared" si="1"/>
        <v>0</v>
      </c>
      <c r="AL28" s="36">
        <f t="shared" si="6"/>
        <v>0</v>
      </c>
      <c r="AM28" s="36">
        <f t="shared" si="8"/>
        <v>0</v>
      </c>
      <c r="AN28" s="37">
        <f t="shared" si="2"/>
        <v>0</v>
      </c>
      <c r="AO28" s="38">
        <f t="shared" si="7"/>
        <v>0</v>
      </c>
      <c r="AP28" s="37">
        <f t="shared" si="3"/>
        <v>0</v>
      </c>
      <c r="AQ28" s="39">
        <f t="shared" si="4"/>
        <v>0</v>
      </c>
      <c r="AR28" s="40"/>
    </row>
    <row r="29" spans="1:44" ht="28.5" customHeight="1" x14ac:dyDescent="0.15">
      <c r="A29" s="291" t="s">
        <v>242</v>
      </c>
      <c r="B29" s="291"/>
      <c r="C29" s="471"/>
      <c r="D29" s="471"/>
      <c r="E29" s="471"/>
      <c r="F29" s="471"/>
      <c r="G29" s="471"/>
      <c r="H29" s="471"/>
      <c r="I29" s="471"/>
      <c r="J29" s="471"/>
      <c r="K29" s="471"/>
      <c r="L29" s="471"/>
      <c r="M29" s="471"/>
      <c r="N29" s="471"/>
      <c r="O29" s="471"/>
      <c r="P29" s="471"/>
      <c r="Q29" s="471"/>
      <c r="R29" s="555"/>
      <c r="S29" s="555"/>
      <c r="T29" s="555"/>
      <c r="U29" s="555"/>
      <c r="V29" s="555"/>
      <c r="W29" s="555"/>
      <c r="X29" s="555"/>
      <c r="Y29" s="562">
        <f t="shared" si="5"/>
        <v>0</v>
      </c>
      <c r="Z29" s="562"/>
      <c r="AA29" s="562"/>
      <c r="AB29" s="562"/>
      <c r="AC29" s="562"/>
      <c r="AD29" s="562"/>
      <c r="AE29" s="562"/>
      <c r="AF29" s="562"/>
      <c r="AG29" s="562"/>
      <c r="AH29" s="562"/>
      <c r="AI29" s="40"/>
      <c r="AJ29" s="34">
        <f t="shared" si="0"/>
        <v>0</v>
      </c>
      <c r="AK29" s="35">
        <f t="shared" si="1"/>
        <v>0</v>
      </c>
      <c r="AL29" s="36">
        <f t="shared" si="6"/>
        <v>0</v>
      </c>
      <c r="AM29" s="36">
        <f t="shared" si="8"/>
        <v>0</v>
      </c>
      <c r="AN29" s="37">
        <f t="shared" si="2"/>
        <v>0</v>
      </c>
      <c r="AO29" s="38">
        <f t="shared" si="7"/>
        <v>0</v>
      </c>
      <c r="AP29" s="37">
        <f t="shared" si="3"/>
        <v>0</v>
      </c>
      <c r="AQ29" s="39">
        <f t="shared" si="4"/>
        <v>0</v>
      </c>
      <c r="AR29" s="40"/>
    </row>
    <row r="30" spans="1:44" ht="28.5" customHeight="1" x14ac:dyDescent="0.15">
      <c r="A30" s="571" t="s">
        <v>252</v>
      </c>
      <c r="B30" s="572"/>
      <c r="C30" s="572"/>
      <c r="D30" s="572"/>
      <c r="E30" s="134" t="s">
        <v>253</v>
      </c>
      <c r="F30" s="572" t="str">
        <f>C14</f>
        <v>例）VISIT 1　達成時</v>
      </c>
      <c r="G30" s="572"/>
      <c r="H30" s="572"/>
      <c r="I30" s="572"/>
      <c r="J30" s="572"/>
      <c r="K30" s="572"/>
      <c r="L30" s="572"/>
      <c r="M30" s="572"/>
      <c r="N30" s="569" t="s">
        <v>254</v>
      </c>
      <c r="O30" s="569"/>
      <c r="P30" s="569"/>
      <c r="Q30" s="570"/>
      <c r="R30" s="577">
        <f>IF(AND(Y33="",AC30=""),"",Y33-AC30)</f>
        <v>0</v>
      </c>
      <c r="S30" s="577"/>
      <c r="T30" s="577"/>
      <c r="U30" s="577"/>
      <c r="V30" s="577"/>
      <c r="W30" s="577"/>
      <c r="X30" s="577"/>
      <c r="Y30" s="576" t="s">
        <v>243</v>
      </c>
      <c r="Z30" s="576"/>
      <c r="AA30" s="576"/>
      <c r="AB30" s="576"/>
      <c r="AC30" s="574">
        <f>IF(Y14="","",SUM(Y15:AH29)+Y14)</f>
        <v>240240</v>
      </c>
      <c r="AD30" s="575"/>
      <c r="AE30" s="575"/>
      <c r="AF30" s="575"/>
      <c r="AG30" s="133" t="str">
        <f>IF(Y33-AC30=0,"","+")</f>
        <v/>
      </c>
      <c r="AH30" s="135" t="str">
        <f>IF(Y33-AC30=0,"",Y33-AC30)</f>
        <v/>
      </c>
      <c r="AI30" s="41"/>
      <c r="AJ30" s="42"/>
      <c r="AK30" s="43"/>
      <c r="AL30" s="43">
        <f>INT($AL$10*R14)</f>
        <v>25740</v>
      </c>
      <c r="AM30" s="43">
        <f>INT($AM$10*R14)</f>
        <v>29700</v>
      </c>
      <c r="AN30" s="43"/>
      <c r="AO30" s="43"/>
      <c r="AP30" s="43"/>
      <c r="AQ30" s="43"/>
      <c r="AR30" s="41"/>
    </row>
    <row r="31" spans="1:44" ht="28.5" customHeight="1" x14ac:dyDescent="0.15">
      <c r="A31" s="567" t="s">
        <v>250</v>
      </c>
      <c r="B31" s="568"/>
      <c r="C31" s="568"/>
      <c r="D31" s="568"/>
      <c r="E31" s="568"/>
      <c r="F31" s="563" t="str">
        <f>C14</f>
        <v>例）VISIT 1　達成時</v>
      </c>
      <c r="G31" s="563"/>
      <c r="H31" s="563"/>
      <c r="I31" s="563"/>
      <c r="J31" s="563"/>
      <c r="K31" s="563"/>
      <c r="L31" s="563"/>
      <c r="M31" s="563"/>
      <c r="N31" s="564" t="s">
        <v>251</v>
      </c>
      <c r="O31" s="564"/>
      <c r="P31" s="564"/>
      <c r="Q31" s="565"/>
      <c r="R31" s="566">
        <f>IF(AND(Y14="",R30=""),"",Y14+R30)</f>
        <v>72072</v>
      </c>
      <c r="S31" s="566"/>
      <c r="T31" s="566"/>
      <c r="U31" s="566"/>
      <c r="V31" s="566"/>
      <c r="W31" s="566"/>
      <c r="X31" s="566"/>
      <c r="Y31" s="33"/>
      <c r="Z31" s="33"/>
      <c r="AA31" s="33"/>
      <c r="AB31" s="33"/>
      <c r="AC31" s="33"/>
      <c r="AD31" s="33"/>
      <c r="AE31" s="33"/>
      <c r="AF31" s="33"/>
      <c r="AG31" s="33"/>
      <c r="AH31" s="33"/>
      <c r="AI31" s="33"/>
      <c r="AJ31" s="44" t="s">
        <v>429</v>
      </c>
      <c r="AK31" s="45"/>
      <c r="AL31" s="46">
        <f>AL10-(SUM(AL15:AL30))</f>
        <v>0</v>
      </c>
      <c r="AM31" s="46">
        <f>AM10-(SUM(AM15:AM30))</f>
        <v>0</v>
      </c>
      <c r="AN31" s="47"/>
      <c r="AO31" s="47"/>
      <c r="AP31" s="47"/>
      <c r="AQ31" s="47"/>
      <c r="AR31" s="47"/>
    </row>
    <row r="32" spans="1:44" ht="14.45" customHeight="1" x14ac:dyDescent="0.15">
      <c r="A32" s="136"/>
      <c r="B32" s="136"/>
      <c r="C32" s="136"/>
      <c r="D32" s="136"/>
      <c r="E32" s="136"/>
      <c r="F32" s="136"/>
      <c r="G32" s="136"/>
      <c r="H32" s="136"/>
      <c r="I32" s="136"/>
      <c r="J32" s="136"/>
      <c r="K32" s="136"/>
      <c r="L32" s="136"/>
      <c r="M32" s="136"/>
      <c r="N32" s="136"/>
      <c r="O32" s="136"/>
      <c r="P32" s="136"/>
      <c r="Q32" s="136"/>
      <c r="R32" s="137"/>
      <c r="S32" s="137"/>
      <c r="T32" s="137"/>
      <c r="U32" s="137"/>
      <c r="V32" s="137"/>
      <c r="W32" s="137"/>
      <c r="X32" s="137"/>
      <c r="Y32" s="40"/>
      <c r="Z32" s="40"/>
      <c r="AA32" s="40"/>
      <c r="AB32" s="40"/>
      <c r="AC32" s="40"/>
      <c r="AD32" s="40"/>
      <c r="AE32" s="40"/>
      <c r="AF32" s="40"/>
      <c r="AG32" s="40"/>
      <c r="AH32" s="40"/>
      <c r="AI32" s="40"/>
      <c r="AJ32" s="40"/>
      <c r="AK32" s="40"/>
      <c r="AL32" s="40"/>
      <c r="AM32" s="40"/>
      <c r="AN32" s="40"/>
      <c r="AO32" s="40"/>
      <c r="AP32" s="40"/>
      <c r="AQ32" s="40"/>
      <c r="AR32" s="40"/>
    </row>
    <row r="33" spans="1:44" ht="28.5" customHeight="1" x14ac:dyDescent="0.15">
      <c r="A33" s="96"/>
      <c r="B33" s="96"/>
      <c r="C33" s="96"/>
      <c r="D33" s="96"/>
      <c r="E33" s="96"/>
      <c r="F33" s="96"/>
      <c r="K33" s="489" t="s">
        <v>210</v>
      </c>
      <c r="L33" s="489"/>
      <c r="M33" s="489"/>
      <c r="N33" s="489"/>
      <c r="O33" s="489"/>
      <c r="P33" s="489"/>
      <c r="Q33" s="489"/>
      <c r="R33" s="573">
        <f>SUM(R14:X29)</f>
        <v>1</v>
      </c>
      <c r="S33" s="573"/>
      <c r="T33" s="573"/>
      <c r="U33" s="573"/>
      <c r="V33" s="573"/>
      <c r="W33" s="573"/>
      <c r="X33" s="573"/>
      <c r="Y33" s="562">
        <f>YC書式522_経費内訳書・再生医療!$Y$34</f>
        <v>240240</v>
      </c>
      <c r="Z33" s="562"/>
      <c r="AA33" s="562"/>
      <c r="AB33" s="562"/>
      <c r="AC33" s="562"/>
      <c r="AD33" s="562"/>
      <c r="AE33" s="562"/>
      <c r="AF33" s="562"/>
      <c r="AG33" s="562"/>
      <c r="AH33" s="562"/>
      <c r="AI33" s="40"/>
      <c r="AJ33" s="40"/>
      <c r="AK33" s="40"/>
      <c r="AL33" s="40"/>
      <c r="AM33" s="40"/>
      <c r="AN33" s="40"/>
      <c r="AO33" s="40"/>
      <c r="AP33" s="40"/>
      <c r="AQ33" s="40"/>
      <c r="AR33" s="40"/>
    </row>
    <row r="34" spans="1:44" ht="12.95" customHeight="1" x14ac:dyDescent="0.15">
      <c r="A34" s="96"/>
      <c r="B34" s="96"/>
      <c r="C34" s="96"/>
      <c r="D34" s="96"/>
      <c r="E34" s="96"/>
      <c r="F34" s="96"/>
      <c r="K34" s="96"/>
      <c r="L34" s="96"/>
      <c r="M34" s="96"/>
      <c r="N34" s="96"/>
      <c r="O34" s="96"/>
      <c r="P34" s="96"/>
      <c r="Q34" s="96"/>
      <c r="R34" s="561" t="str">
        <f>IF(R33=1,"","合計が100%になるように入力してください")</f>
        <v/>
      </c>
      <c r="S34" s="561"/>
      <c r="T34" s="561"/>
      <c r="U34" s="561"/>
      <c r="V34" s="561"/>
      <c r="W34" s="561"/>
      <c r="X34" s="561"/>
      <c r="Y34" s="561"/>
      <c r="Z34" s="561"/>
      <c r="AA34" s="561"/>
      <c r="AB34" s="561"/>
      <c r="AC34" s="561"/>
      <c r="AD34" s="561"/>
      <c r="AE34" s="561"/>
      <c r="AF34" s="561"/>
      <c r="AG34" s="561"/>
      <c r="AH34" s="561"/>
    </row>
    <row r="35" spans="1:44" x14ac:dyDescent="0.15">
      <c r="A35" s="96"/>
      <c r="B35" s="96"/>
      <c r="C35" s="96"/>
      <c r="D35" s="96"/>
      <c r="E35" s="96"/>
      <c r="F35" s="96"/>
      <c r="K35" s="96"/>
      <c r="L35" s="96"/>
      <c r="M35" s="96"/>
      <c r="N35" s="96"/>
      <c r="O35" s="96"/>
      <c r="P35" s="96"/>
      <c r="Q35" s="96"/>
      <c r="R35" s="96"/>
      <c r="S35" s="96"/>
      <c r="T35" s="96"/>
      <c r="U35" s="96"/>
      <c r="V35" s="96"/>
      <c r="W35" s="96"/>
      <c r="X35" s="31"/>
      <c r="Y35" s="31"/>
      <c r="Z35" s="31"/>
      <c r="AA35" s="31"/>
      <c r="AE35" s="31"/>
      <c r="AF35" s="31"/>
      <c r="AG35" s="31"/>
      <c r="AH35" s="31"/>
    </row>
    <row r="36" spans="1:44" x14ac:dyDescent="0.15">
      <c r="A36" s="96"/>
      <c r="B36" s="96"/>
      <c r="C36" s="96"/>
      <c r="D36" s="96"/>
      <c r="E36" s="96"/>
      <c r="F36" s="96"/>
      <c r="K36" s="96"/>
      <c r="L36" s="96"/>
      <c r="M36" s="96"/>
      <c r="N36" s="96"/>
      <c r="O36" s="96"/>
      <c r="P36" s="96"/>
      <c r="Q36" s="96"/>
      <c r="R36" s="96"/>
      <c r="S36" s="96"/>
      <c r="T36" s="96"/>
      <c r="U36" s="96"/>
      <c r="V36" s="96"/>
      <c r="W36" s="96"/>
      <c r="X36" s="31"/>
      <c r="Y36" s="31"/>
      <c r="Z36" s="31"/>
      <c r="AA36" s="31"/>
      <c r="AE36" s="31"/>
      <c r="AF36" s="31"/>
      <c r="AG36" s="31"/>
      <c r="AH36" s="31"/>
    </row>
    <row r="37" spans="1:44" x14ac:dyDescent="0.15">
      <c r="A37" s="96"/>
      <c r="B37" s="96"/>
      <c r="C37" s="96"/>
      <c r="D37" s="96"/>
      <c r="E37" s="96"/>
      <c r="F37" s="96"/>
      <c r="K37" s="96"/>
      <c r="L37" s="96"/>
      <c r="M37" s="96"/>
      <c r="N37" s="96"/>
      <c r="O37" s="96"/>
      <c r="P37" s="96"/>
      <c r="Q37" s="96"/>
      <c r="R37" s="96"/>
      <c r="S37" s="96"/>
      <c r="T37" s="96"/>
      <c r="U37" s="96"/>
      <c r="V37" s="96"/>
      <c r="W37" s="96"/>
      <c r="X37" s="31"/>
      <c r="Y37" s="31"/>
      <c r="Z37" s="31"/>
      <c r="AA37" s="31"/>
      <c r="AE37" s="31"/>
      <c r="AF37" s="31"/>
      <c r="AG37" s="31"/>
      <c r="AH37" s="31"/>
    </row>
    <row r="38" spans="1:44" x14ac:dyDescent="0.15">
      <c r="A38" s="96"/>
      <c r="B38" s="96"/>
      <c r="C38" s="96"/>
      <c r="D38" s="96"/>
      <c r="E38" s="96"/>
      <c r="F38" s="96"/>
      <c r="K38" s="96"/>
      <c r="L38" s="96"/>
      <c r="M38" s="96"/>
      <c r="N38" s="96"/>
      <c r="O38" s="96"/>
      <c r="P38" s="96"/>
      <c r="Q38" s="96"/>
      <c r="R38" s="96"/>
      <c r="S38" s="96"/>
      <c r="T38" s="96"/>
      <c r="U38" s="96"/>
      <c r="V38" s="96"/>
      <c r="W38" s="96"/>
      <c r="X38" s="31"/>
      <c r="Y38" s="31"/>
      <c r="Z38" s="31"/>
      <c r="AA38" s="31"/>
      <c r="AE38" s="31"/>
      <c r="AF38" s="31"/>
      <c r="AG38" s="31"/>
      <c r="AH38" s="31"/>
    </row>
    <row r="39" spans="1:44" x14ac:dyDescent="0.15">
      <c r="A39" s="96"/>
      <c r="B39" s="96"/>
      <c r="C39" s="96"/>
      <c r="D39" s="96"/>
      <c r="E39" s="96"/>
      <c r="F39" s="96"/>
      <c r="K39" s="96"/>
      <c r="L39" s="96"/>
      <c r="M39" s="96"/>
      <c r="N39" s="96"/>
      <c r="O39" s="96"/>
      <c r="P39" s="96"/>
      <c r="Q39" s="96"/>
      <c r="R39" s="96"/>
      <c r="S39" s="96"/>
      <c r="T39" s="96"/>
      <c r="U39" s="96"/>
      <c r="V39" s="96"/>
      <c r="W39" s="96"/>
      <c r="X39" s="31"/>
      <c r="Y39" s="31"/>
      <c r="Z39" s="31"/>
      <c r="AA39" s="31"/>
      <c r="AE39" s="31"/>
      <c r="AF39" s="31"/>
      <c r="AG39" s="31"/>
      <c r="AH39" s="31"/>
    </row>
    <row r="40" spans="1:44" x14ac:dyDescent="0.15">
      <c r="A40" s="96"/>
      <c r="B40" s="96"/>
      <c r="C40" s="96"/>
      <c r="D40" s="96"/>
      <c r="E40" s="96"/>
      <c r="F40" s="96"/>
      <c r="K40" s="96"/>
      <c r="L40" s="96"/>
      <c r="M40" s="96"/>
      <c r="N40" s="96"/>
      <c r="O40" s="96"/>
      <c r="P40" s="96"/>
      <c r="Q40" s="96"/>
      <c r="R40" s="96"/>
      <c r="S40" s="96"/>
      <c r="T40" s="96"/>
      <c r="U40" s="96"/>
      <c r="V40" s="96"/>
      <c r="W40" s="96"/>
      <c r="X40" s="31"/>
      <c r="Y40" s="31"/>
      <c r="Z40" s="31"/>
      <c r="AA40" s="31"/>
      <c r="AE40" s="31"/>
      <c r="AF40" s="31"/>
      <c r="AG40" s="31"/>
      <c r="AH40" s="31"/>
    </row>
    <row r="41" spans="1:44" x14ac:dyDescent="0.15">
      <c r="A41" s="96"/>
      <c r="B41" s="96"/>
      <c r="C41" s="96"/>
      <c r="D41" s="96"/>
      <c r="E41" s="96"/>
      <c r="F41" s="96"/>
      <c r="K41" s="96"/>
      <c r="L41" s="96"/>
      <c r="M41" s="96"/>
      <c r="N41" s="96"/>
      <c r="O41" s="96"/>
      <c r="P41" s="96"/>
      <c r="Q41" s="96"/>
      <c r="R41" s="96"/>
      <c r="S41" s="96"/>
      <c r="T41" s="96"/>
      <c r="U41" s="96"/>
      <c r="V41" s="96"/>
      <c r="W41" s="96"/>
      <c r="X41" s="31"/>
      <c r="Y41" s="31"/>
      <c r="Z41" s="31"/>
      <c r="AA41" s="31"/>
      <c r="AE41" s="31"/>
      <c r="AF41" s="31"/>
      <c r="AG41" s="31"/>
      <c r="AH41" s="31"/>
    </row>
    <row r="42" spans="1:44" x14ac:dyDescent="0.15">
      <c r="A42" s="96"/>
      <c r="B42" s="96"/>
      <c r="C42" s="96"/>
      <c r="D42" s="96"/>
      <c r="E42" s="96"/>
      <c r="F42" s="96"/>
      <c r="K42" s="96"/>
      <c r="L42" s="96"/>
      <c r="M42" s="96"/>
      <c r="N42" s="96"/>
      <c r="O42" s="96"/>
      <c r="P42" s="96"/>
      <c r="Q42" s="96"/>
      <c r="R42" s="96"/>
      <c r="S42" s="96"/>
      <c r="T42" s="96"/>
      <c r="U42" s="96"/>
      <c r="V42" s="96"/>
      <c r="W42" s="96"/>
      <c r="X42" s="31"/>
      <c r="Y42" s="31"/>
      <c r="Z42" s="31"/>
      <c r="AA42" s="31"/>
      <c r="AE42" s="31"/>
      <c r="AF42" s="31"/>
      <c r="AG42" s="31"/>
      <c r="AH42" s="31"/>
    </row>
    <row r="43" spans="1:44" x14ac:dyDescent="0.15">
      <c r="A43" s="96"/>
      <c r="B43" s="96"/>
      <c r="C43" s="96"/>
      <c r="D43" s="96"/>
      <c r="E43" s="96"/>
      <c r="F43" s="96"/>
      <c r="K43" s="96"/>
      <c r="L43" s="96"/>
      <c r="M43" s="96"/>
      <c r="N43" s="96"/>
      <c r="O43" s="96"/>
      <c r="P43" s="96"/>
      <c r="Q43" s="96"/>
      <c r="R43" s="96"/>
      <c r="S43" s="96"/>
      <c r="T43" s="96"/>
      <c r="U43" s="96"/>
      <c r="V43" s="96"/>
      <c r="W43" s="96"/>
      <c r="X43" s="31"/>
      <c r="Y43" s="31"/>
      <c r="Z43" s="31"/>
      <c r="AA43" s="31"/>
      <c r="AE43" s="31"/>
      <c r="AF43" s="31"/>
      <c r="AG43" s="31"/>
      <c r="AH43" s="31"/>
    </row>
    <row r="44" spans="1:44" x14ac:dyDescent="0.15">
      <c r="A44" s="96"/>
      <c r="B44" s="96"/>
      <c r="C44" s="96"/>
      <c r="D44" s="96"/>
      <c r="E44" s="96"/>
      <c r="F44" s="96"/>
      <c r="K44" s="96"/>
      <c r="L44" s="96"/>
      <c r="M44" s="96"/>
      <c r="N44" s="96"/>
      <c r="O44" s="96"/>
      <c r="P44" s="96"/>
      <c r="Q44" s="96"/>
      <c r="R44" s="96"/>
      <c r="S44" s="96"/>
      <c r="T44" s="96"/>
      <c r="U44" s="96"/>
      <c r="V44" s="96"/>
      <c r="W44" s="96"/>
      <c r="X44" s="31"/>
      <c r="Y44" s="31"/>
      <c r="Z44" s="31"/>
      <c r="AA44" s="31"/>
      <c r="AE44" s="31"/>
      <c r="AF44" s="31"/>
      <c r="AG44" s="31"/>
      <c r="AH44" s="31"/>
    </row>
    <row r="45" spans="1:44" x14ac:dyDescent="0.15">
      <c r="A45" s="96"/>
      <c r="B45" s="96"/>
      <c r="C45" s="96"/>
      <c r="D45" s="96"/>
      <c r="E45" s="96"/>
      <c r="F45" s="96"/>
      <c r="K45" s="96"/>
      <c r="L45" s="96"/>
      <c r="M45" s="96"/>
      <c r="N45" s="96"/>
      <c r="O45" s="96"/>
      <c r="P45" s="96"/>
      <c r="Q45" s="96"/>
      <c r="R45" s="96"/>
      <c r="S45" s="96"/>
      <c r="T45" s="96"/>
      <c r="U45" s="96"/>
      <c r="V45" s="96"/>
      <c r="W45" s="96"/>
      <c r="X45" s="31"/>
      <c r="Y45" s="31"/>
      <c r="Z45" s="31"/>
      <c r="AA45" s="31"/>
      <c r="AE45" s="31"/>
      <c r="AF45" s="31"/>
      <c r="AG45" s="31"/>
      <c r="AH45" s="31"/>
    </row>
    <row r="46" spans="1:44" x14ac:dyDescent="0.15">
      <c r="A46" s="96"/>
      <c r="B46" s="96"/>
      <c r="C46" s="96"/>
      <c r="D46" s="96"/>
      <c r="E46" s="96"/>
      <c r="F46" s="96"/>
      <c r="K46" s="96"/>
      <c r="L46" s="96"/>
      <c r="M46" s="96"/>
      <c r="N46" s="96"/>
      <c r="O46" s="96"/>
      <c r="P46" s="96"/>
      <c r="Q46" s="96"/>
      <c r="R46" s="96"/>
      <c r="S46" s="96"/>
      <c r="T46" s="96"/>
      <c r="U46" s="96"/>
      <c r="V46" s="96"/>
      <c r="W46" s="96"/>
      <c r="X46" s="31"/>
      <c r="Y46" s="31"/>
      <c r="Z46" s="31"/>
      <c r="AA46" s="31"/>
      <c r="AE46" s="31"/>
      <c r="AF46" s="31"/>
      <c r="AG46" s="31"/>
      <c r="AH46" s="31"/>
    </row>
    <row r="47" spans="1:44" x14ac:dyDescent="0.15">
      <c r="A47" s="96"/>
      <c r="B47" s="96"/>
      <c r="C47" s="96"/>
      <c r="D47" s="96"/>
      <c r="E47" s="96"/>
      <c r="F47" s="96"/>
      <c r="K47" s="96"/>
      <c r="L47" s="96"/>
      <c r="M47" s="96"/>
      <c r="N47" s="96"/>
      <c r="O47" s="96"/>
      <c r="P47" s="96"/>
      <c r="Q47" s="96"/>
      <c r="R47" s="96"/>
      <c r="S47" s="96"/>
      <c r="T47" s="96"/>
      <c r="U47" s="96"/>
      <c r="V47" s="96"/>
      <c r="W47" s="96"/>
      <c r="X47" s="31"/>
      <c r="Y47" s="31"/>
      <c r="Z47" s="31"/>
      <c r="AA47" s="31"/>
      <c r="AE47" s="31"/>
      <c r="AF47" s="31"/>
      <c r="AG47" s="31"/>
      <c r="AH47" s="31"/>
    </row>
    <row r="48" spans="1:44" x14ac:dyDescent="0.15">
      <c r="A48" s="96"/>
      <c r="B48" s="96"/>
      <c r="C48" s="96"/>
      <c r="D48" s="96"/>
      <c r="E48" s="96"/>
      <c r="F48" s="96"/>
      <c r="K48" s="96"/>
      <c r="L48" s="96"/>
      <c r="M48" s="96"/>
      <c r="N48" s="96"/>
      <c r="O48" s="96"/>
      <c r="P48" s="96"/>
      <c r="Q48" s="96"/>
      <c r="R48" s="96"/>
      <c r="S48" s="96"/>
      <c r="T48" s="96"/>
      <c r="U48" s="96"/>
      <c r="V48" s="96"/>
      <c r="W48" s="96"/>
      <c r="X48" s="31"/>
      <c r="Y48" s="31"/>
      <c r="Z48" s="31"/>
      <c r="AA48" s="31"/>
      <c r="AE48" s="31"/>
      <c r="AF48" s="31"/>
      <c r="AG48" s="31"/>
      <c r="AH48" s="31"/>
    </row>
    <row r="49" spans="1:34" x14ac:dyDescent="0.15">
      <c r="A49" s="96"/>
      <c r="B49" s="96"/>
      <c r="C49" s="96"/>
      <c r="D49" s="96"/>
      <c r="E49" s="96"/>
      <c r="F49" s="96"/>
      <c r="K49" s="96"/>
      <c r="L49" s="96"/>
      <c r="M49" s="96"/>
      <c r="N49" s="96"/>
      <c r="O49" s="96"/>
      <c r="P49" s="96"/>
      <c r="Q49" s="96"/>
      <c r="R49" s="96"/>
      <c r="S49" s="96"/>
      <c r="T49" s="96"/>
      <c r="U49" s="96"/>
      <c r="V49" s="96"/>
      <c r="W49" s="96"/>
      <c r="X49" s="31"/>
      <c r="Y49" s="31"/>
      <c r="Z49" s="31"/>
      <c r="AA49" s="31"/>
      <c r="AE49" s="31"/>
      <c r="AF49" s="31"/>
      <c r="AG49" s="31"/>
      <c r="AH49" s="31"/>
    </row>
    <row r="50" spans="1:34" x14ac:dyDescent="0.15">
      <c r="A50" s="96"/>
      <c r="B50" s="96"/>
      <c r="C50" s="96"/>
      <c r="D50" s="96"/>
      <c r="E50" s="96"/>
      <c r="F50" s="96"/>
      <c r="K50" s="96"/>
      <c r="L50" s="96"/>
      <c r="M50" s="96"/>
      <c r="N50" s="96"/>
      <c r="O50" s="96"/>
      <c r="P50" s="96"/>
      <c r="Q50" s="96"/>
      <c r="R50" s="96"/>
      <c r="S50" s="96"/>
      <c r="T50" s="96"/>
      <c r="U50" s="96"/>
      <c r="V50" s="96"/>
      <c r="W50" s="96"/>
      <c r="X50" s="31"/>
      <c r="Y50" s="31"/>
      <c r="Z50" s="31"/>
      <c r="AA50" s="31"/>
      <c r="AE50" s="31"/>
      <c r="AF50" s="31"/>
      <c r="AG50" s="31"/>
      <c r="AH50" s="31"/>
    </row>
    <row r="51" spans="1:34" x14ac:dyDescent="0.15">
      <c r="A51" s="96"/>
      <c r="B51" s="96"/>
      <c r="C51" s="96"/>
      <c r="D51" s="96"/>
      <c r="E51" s="96"/>
      <c r="F51" s="96"/>
      <c r="K51" s="96"/>
      <c r="L51" s="96"/>
      <c r="M51" s="96"/>
      <c r="N51" s="96"/>
      <c r="O51" s="96"/>
      <c r="P51" s="96"/>
      <c r="Q51" s="96"/>
      <c r="R51" s="96"/>
      <c r="S51" s="96"/>
      <c r="T51" s="96"/>
      <c r="U51" s="96"/>
      <c r="V51" s="96"/>
      <c r="W51" s="96"/>
      <c r="X51" s="31"/>
      <c r="Y51" s="31"/>
      <c r="Z51" s="31"/>
      <c r="AA51" s="31"/>
      <c r="AE51" s="31"/>
      <c r="AF51" s="31"/>
      <c r="AG51" s="31"/>
      <c r="AH51" s="31"/>
    </row>
    <row r="52" spans="1:34" x14ac:dyDescent="0.15">
      <c r="A52" s="96"/>
      <c r="B52" s="96"/>
      <c r="C52" s="96"/>
      <c r="D52" s="96"/>
      <c r="E52" s="96"/>
      <c r="F52" s="96"/>
      <c r="K52" s="96"/>
      <c r="L52" s="96"/>
      <c r="M52" s="96"/>
      <c r="N52" s="96"/>
      <c r="O52" s="96"/>
      <c r="P52" s="96"/>
      <c r="Q52" s="96"/>
      <c r="R52" s="96"/>
      <c r="S52" s="96"/>
      <c r="T52" s="96"/>
      <c r="U52" s="96"/>
      <c r="V52" s="96"/>
      <c r="W52" s="96"/>
      <c r="X52" s="31"/>
      <c r="Y52" s="31"/>
      <c r="Z52" s="31"/>
      <c r="AA52" s="31"/>
      <c r="AE52" s="31"/>
      <c r="AF52" s="31"/>
      <c r="AG52" s="31"/>
      <c r="AH52" s="31"/>
    </row>
    <row r="53" spans="1:34" x14ac:dyDescent="0.15">
      <c r="A53" s="96"/>
      <c r="B53" s="96"/>
      <c r="C53" s="96"/>
      <c r="D53" s="96"/>
      <c r="E53" s="96"/>
      <c r="F53" s="96"/>
      <c r="K53" s="96"/>
      <c r="L53" s="96"/>
      <c r="M53" s="96"/>
      <c r="N53" s="96"/>
      <c r="O53" s="96"/>
      <c r="P53" s="96"/>
      <c r="Q53" s="96"/>
      <c r="R53" s="96"/>
      <c r="S53" s="96"/>
      <c r="T53" s="96"/>
      <c r="U53" s="96"/>
      <c r="V53" s="96"/>
      <c r="W53" s="96"/>
      <c r="X53" s="31"/>
      <c r="Y53" s="31"/>
      <c r="Z53" s="31"/>
      <c r="AA53" s="31"/>
      <c r="AE53" s="31"/>
      <c r="AF53" s="31"/>
      <c r="AG53" s="31"/>
      <c r="AH53" s="31"/>
    </row>
    <row r="54" spans="1:34" x14ac:dyDescent="0.15">
      <c r="A54" s="96"/>
      <c r="B54" s="96"/>
      <c r="C54" s="96"/>
      <c r="D54" s="96"/>
      <c r="E54" s="96"/>
      <c r="F54" s="96"/>
      <c r="K54" s="96"/>
      <c r="L54" s="96"/>
      <c r="M54" s="96"/>
      <c r="N54" s="96"/>
      <c r="O54" s="96"/>
      <c r="P54" s="96"/>
      <c r="Q54" s="96"/>
      <c r="R54" s="96"/>
      <c r="S54" s="96"/>
      <c r="T54" s="96"/>
      <c r="U54" s="96"/>
      <c r="V54" s="96"/>
      <c r="W54" s="96"/>
      <c r="X54" s="31"/>
      <c r="Y54" s="31"/>
      <c r="Z54" s="31"/>
      <c r="AA54" s="31"/>
      <c r="AE54" s="31"/>
      <c r="AF54" s="31"/>
      <c r="AG54" s="31"/>
      <c r="AH54" s="31"/>
    </row>
    <row r="55" spans="1:34" x14ac:dyDescent="0.15">
      <c r="A55" s="96"/>
      <c r="B55" s="96"/>
      <c r="C55" s="96"/>
      <c r="D55" s="96"/>
      <c r="E55" s="96"/>
      <c r="F55" s="96"/>
      <c r="K55" s="96"/>
      <c r="L55" s="96"/>
      <c r="M55" s="96"/>
      <c r="N55" s="96"/>
      <c r="O55" s="96"/>
      <c r="P55" s="96"/>
      <c r="Q55" s="96"/>
      <c r="R55" s="96"/>
      <c r="S55" s="96"/>
      <c r="T55" s="96"/>
      <c r="U55" s="96"/>
      <c r="V55" s="96"/>
      <c r="W55" s="96"/>
      <c r="X55" s="31"/>
      <c r="Y55" s="31"/>
      <c r="Z55" s="31"/>
      <c r="AA55" s="31"/>
      <c r="AE55" s="31"/>
      <c r="AF55" s="31"/>
      <c r="AG55" s="31"/>
      <c r="AH55" s="31"/>
    </row>
    <row r="56" spans="1:34" x14ac:dyDescent="0.15">
      <c r="A56" s="96"/>
      <c r="B56" s="96"/>
      <c r="C56" s="96"/>
      <c r="D56" s="96"/>
      <c r="E56" s="96"/>
      <c r="F56" s="96"/>
      <c r="K56" s="96"/>
      <c r="L56" s="96"/>
      <c r="M56" s="96"/>
      <c r="N56" s="96"/>
      <c r="O56" s="96"/>
      <c r="P56" s="96"/>
      <c r="Q56" s="96"/>
      <c r="R56" s="96"/>
      <c r="S56" s="96"/>
      <c r="T56" s="96"/>
      <c r="U56" s="96"/>
      <c r="V56" s="96"/>
      <c r="W56" s="96"/>
      <c r="X56" s="31"/>
      <c r="Y56" s="31"/>
      <c r="Z56" s="31"/>
      <c r="AA56" s="31"/>
      <c r="AE56" s="31"/>
      <c r="AF56" s="31"/>
      <c r="AG56" s="31"/>
      <c r="AH56" s="31"/>
    </row>
    <row r="57" spans="1:34" x14ac:dyDescent="0.15">
      <c r="A57" s="96"/>
      <c r="B57" s="96"/>
      <c r="C57" s="96"/>
      <c r="D57" s="96"/>
      <c r="E57" s="96"/>
      <c r="F57" s="96"/>
      <c r="K57" s="96"/>
      <c r="L57" s="96"/>
      <c r="M57" s="96"/>
      <c r="N57" s="96"/>
      <c r="O57" s="96"/>
      <c r="P57" s="96"/>
      <c r="Q57" s="96"/>
      <c r="R57" s="96"/>
      <c r="S57" s="96"/>
      <c r="T57" s="96"/>
      <c r="U57" s="96"/>
      <c r="V57" s="96"/>
      <c r="W57" s="96"/>
      <c r="X57" s="31"/>
      <c r="Y57" s="31"/>
      <c r="Z57" s="31"/>
      <c r="AA57" s="31"/>
      <c r="AE57" s="31"/>
      <c r="AF57" s="31"/>
      <c r="AG57" s="31"/>
      <c r="AH57" s="31"/>
    </row>
    <row r="58" spans="1:34" x14ac:dyDescent="0.15">
      <c r="A58" s="96"/>
      <c r="B58" s="96"/>
      <c r="C58" s="96"/>
      <c r="D58" s="96"/>
      <c r="E58" s="96"/>
      <c r="F58" s="96"/>
      <c r="K58" s="96"/>
      <c r="L58" s="96"/>
      <c r="M58" s="96"/>
      <c r="N58" s="96"/>
      <c r="O58" s="96"/>
      <c r="P58" s="96"/>
      <c r="Q58" s="96"/>
      <c r="R58" s="96"/>
      <c r="S58" s="96"/>
      <c r="T58" s="96"/>
      <c r="U58" s="96"/>
      <c r="V58" s="96"/>
      <c r="W58" s="96"/>
      <c r="X58" s="31"/>
      <c r="Y58" s="31"/>
      <c r="Z58" s="31"/>
      <c r="AA58" s="31"/>
      <c r="AE58" s="31"/>
      <c r="AF58" s="31"/>
      <c r="AG58" s="31"/>
      <c r="AH58" s="31"/>
    </row>
    <row r="59" spans="1:34" x14ac:dyDescent="0.15">
      <c r="AB59" s="96"/>
      <c r="AC59" s="96"/>
      <c r="AD59" s="96"/>
    </row>
    <row r="60" spans="1:34" x14ac:dyDescent="0.15">
      <c r="AB60" s="96"/>
      <c r="AC60" s="96"/>
      <c r="AD60" s="96"/>
    </row>
    <row r="61" spans="1:34" ht="13.35" customHeight="1" x14ac:dyDescent="0.15">
      <c r="B61" s="96"/>
      <c r="C61" s="96"/>
      <c r="D61" s="96"/>
      <c r="E61" s="96"/>
      <c r="F61" s="138"/>
      <c r="U61" s="289"/>
      <c r="V61" s="289"/>
      <c r="W61" s="289"/>
      <c r="X61" s="289"/>
      <c r="Y61" s="289"/>
      <c r="Z61" s="289"/>
      <c r="AA61" s="289"/>
      <c r="AB61" s="289"/>
      <c r="AC61" s="289"/>
      <c r="AD61" s="289"/>
    </row>
    <row r="62" spans="1:34" x14ac:dyDescent="0.15">
      <c r="B62" s="96"/>
      <c r="C62" s="96"/>
      <c r="D62" s="96"/>
      <c r="E62" s="96"/>
      <c r="U62" s="289"/>
      <c r="V62" s="289"/>
      <c r="W62" s="289"/>
      <c r="X62" s="289"/>
      <c r="Y62" s="289"/>
      <c r="Z62" s="289"/>
      <c r="AA62" s="289"/>
      <c r="AB62" s="289"/>
      <c r="AC62" s="289"/>
      <c r="AD62" s="289"/>
    </row>
  </sheetData>
  <sheetProtection sheet="1" objects="1" scenarios="1" formatCells="0" formatRows="0"/>
  <mergeCells count="117">
    <mergeCell ref="AL8:AL9"/>
    <mergeCell ref="AM8:AM9"/>
    <mergeCell ref="AL12:AL13"/>
    <mergeCell ref="AM12:AM13"/>
    <mergeCell ref="AN12:AO12"/>
    <mergeCell ref="AP12:AP13"/>
    <mergeCell ref="AQ12:AQ13"/>
    <mergeCell ref="A14:B14"/>
    <mergeCell ref="C14:Q14"/>
    <mergeCell ref="A13:Q13"/>
    <mergeCell ref="R13:X13"/>
    <mergeCell ref="Y13:AH13"/>
    <mergeCell ref="R14:X14"/>
    <mergeCell ref="Y14:AE14"/>
    <mergeCell ref="AG14:AH14"/>
    <mergeCell ref="Y22:AH22"/>
    <mergeCell ref="R23:X23"/>
    <mergeCell ref="Y23:AH23"/>
    <mergeCell ref="R28:X28"/>
    <mergeCell ref="Y28:AH28"/>
    <mergeCell ref="R29:X29"/>
    <mergeCell ref="Y29:AH29"/>
    <mergeCell ref="R26:X26"/>
    <mergeCell ref="Y26:AH26"/>
    <mergeCell ref="R27:X27"/>
    <mergeCell ref="Y27:AH27"/>
    <mergeCell ref="K33:Q33"/>
    <mergeCell ref="R33:X33"/>
    <mergeCell ref="Y33:AH33"/>
    <mergeCell ref="Y15:AH15"/>
    <mergeCell ref="R16:X16"/>
    <mergeCell ref="Y16:AH16"/>
    <mergeCell ref="R17:X17"/>
    <mergeCell ref="Y17:AH17"/>
    <mergeCell ref="R18:X18"/>
    <mergeCell ref="Y18:AH18"/>
    <mergeCell ref="R24:X24"/>
    <mergeCell ref="Y24:AH24"/>
    <mergeCell ref="R25:X25"/>
    <mergeCell ref="F30:M30"/>
    <mergeCell ref="C24:Q24"/>
    <mergeCell ref="C23:Q23"/>
    <mergeCell ref="C22:Q22"/>
    <mergeCell ref="AC30:AF30"/>
    <mergeCell ref="Y30:AB30"/>
    <mergeCell ref="R30:X30"/>
    <mergeCell ref="Y20:AH20"/>
    <mergeCell ref="R21:X21"/>
    <mergeCell ref="Y21:AH21"/>
    <mergeCell ref="Y25:AH25"/>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A5:G5"/>
    <mergeCell ref="A8:AH8"/>
    <mergeCell ref="A10:G10"/>
    <mergeCell ref="H10:Q10"/>
    <mergeCell ref="R10:X10"/>
    <mergeCell ref="Y10:AH10"/>
    <mergeCell ref="A11:G11"/>
    <mergeCell ref="H11:Q11"/>
    <mergeCell ref="R11:X11"/>
    <mergeCell ref="Y11:AH11"/>
    <mergeCell ref="R5:X5"/>
    <mergeCell ref="Y5:AH5"/>
    <mergeCell ref="A6:G6"/>
    <mergeCell ref="H5:Q5"/>
    <mergeCell ref="H6:AH6"/>
    <mergeCell ref="A28:B28"/>
    <mergeCell ref="A29:B29"/>
    <mergeCell ref="C29:Q29"/>
    <mergeCell ref="C28:Q28"/>
    <mergeCell ref="C27:Q27"/>
    <mergeCell ref="C26:Q26"/>
    <mergeCell ref="R20:X20"/>
    <mergeCell ref="A15:B15"/>
    <mergeCell ref="A16:B16"/>
    <mergeCell ref="C16:Q16"/>
    <mergeCell ref="C15:Q15"/>
    <mergeCell ref="A17:B17"/>
    <mergeCell ref="A18:B18"/>
    <mergeCell ref="C18:Q18"/>
    <mergeCell ref="C17:Q17"/>
    <mergeCell ref="R15:X15"/>
    <mergeCell ref="R22:X22"/>
    <mergeCell ref="V4:X4"/>
    <mergeCell ref="Z4:AC4"/>
    <mergeCell ref="P1:R1"/>
    <mergeCell ref="S1:AH1"/>
    <mergeCell ref="P2:R3"/>
    <mergeCell ref="T2:V2"/>
    <mergeCell ref="X2:AA2"/>
    <mergeCell ref="AC2:AH2"/>
    <mergeCell ref="AD4:AE4"/>
    <mergeCell ref="AF4:AH4"/>
    <mergeCell ref="T3:AH3"/>
  </mergeCells>
  <phoneticPr fontId="2"/>
  <dataValidations count="1">
    <dataValidation type="list" allowBlank="1" showInputMessage="1" showErrorMessage="1" sqref="Q9 U9" xr:uid="{00000000-0002-0000-0400-000000000000}">
      <formula1>#REF!</formula1>
    </dataValidation>
  </dataValidations>
  <printOptions horizontalCentered="1"/>
  <pageMargins left="0.62992125984251968" right="0.23622047244094491" top="0.35433070866141736" bottom="0.55118110236220474" header="0.31496062992125984" footer="0.31496062992125984"/>
  <pageSetup paperSize="9" scale="77" orientation="portrait" cellComments="asDisplayed" horizontalDpi="1200" verticalDpi="1200" r:id="rId1"/>
  <headerFooter alignWithMargins="0">
    <oddFooter>&amp;R20250822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使い方と注意事項</vt:lpstr>
      <vt:lpstr>YC書式520_研究経費ポイント算出表・再生医療</vt:lpstr>
      <vt:lpstr>YC書式521_管理経費ポイント算出表・再生医療</vt:lpstr>
      <vt:lpstr>YC書式522_経費内訳書・再生医療</vt:lpstr>
      <vt:lpstr>YC書式522_別紙1</vt:lpstr>
      <vt:lpstr>YC書式522_別紙2</vt:lpstr>
      <vt:lpstr>YC書式520_研究経費ポイント算出表・再生医療!Print_Area</vt:lpstr>
      <vt:lpstr>YC書式521_管理経費ポイント算出表・再生医療!Print_Area</vt:lpstr>
      <vt:lpstr>YC書式522_経費内訳書・再生医療!Print_Area</vt:lpstr>
      <vt:lpstr>YC書式522_別紙1!Print_Area</vt:lpstr>
      <vt:lpstr>YC書式522_別紙2!Print_Area</vt:lpstr>
      <vt:lpstr>使い方と注意事項!Print_Area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内藤　明子（横浜市大附属病院_臨床研究推進課）</cp:lastModifiedBy>
  <cp:lastPrinted>2025-08-22T00:42:43Z</cp:lastPrinted>
  <dcterms:created xsi:type="dcterms:W3CDTF">2015-07-23T02:45:46Z</dcterms:created>
  <dcterms:modified xsi:type="dcterms:W3CDTF">2025-09-01T01:26:04Z</dcterms:modified>
</cp:coreProperties>
</file>